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filterPrivacy="1"/>
  <xr:revisionPtr revIDLastSave="0" documentId="13_ncr:1_{CBBBFE77-AB6B-4265-8BA3-906159E28A46}" xr6:coauthVersionLast="47" xr6:coauthVersionMax="47" xr10:uidLastSave="{00000000-0000-0000-0000-000000000000}"/>
  <bookViews>
    <workbookView xWindow="-108" yWindow="-108" windowWidth="23256" windowHeight="12576" xr2:uid="{00000000-000D-0000-FFFF-FFFF00000000}"/>
  </bookViews>
  <sheets>
    <sheet name="Suppl Table 1" sheetId="2" r:id="rId1"/>
    <sheet name="Table 2"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2" i="1" l="1"/>
  <c r="M2" i="1"/>
  <c r="K2" i="1"/>
  <c r="I2" i="1"/>
  <c r="G2" i="1"/>
  <c r="G8" i="1" s="1"/>
  <c r="E2" i="1"/>
  <c r="H8" i="1" l="1"/>
  <c r="E10" i="1"/>
  <c r="G10" i="1"/>
  <c r="E37" i="1"/>
  <c r="E31" i="1"/>
  <c r="P31" i="1"/>
  <c r="F31" i="1"/>
  <c r="G31" i="1"/>
  <c r="H31" i="1"/>
  <c r="I31" i="1"/>
  <c r="J31" i="1"/>
  <c r="K31" i="1"/>
  <c r="L31" i="1"/>
  <c r="M31" i="1"/>
  <c r="N31" i="1"/>
  <c r="O31" i="1"/>
  <c r="I7" i="1"/>
  <c r="P19" i="1"/>
  <c r="O19" i="1"/>
  <c r="N19" i="1"/>
  <c r="M19" i="1"/>
  <c r="L19" i="1"/>
  <c r="K19" i="1"/>
  <c r="J19" i="1"/>
  <c r="I19" i="1"/>
  <c r="H19" i="1"/>
  <c r="G19" i="1"/>
  <c r="F19" i="1"/>
  <c r="F20" i="1" s="1"/>
  <c r="F21" i="1" s="1"/>
  <c r="E19" i="1"/>
  <c r="E20" i="1" s="1"/>
  <c r="E21" i="1" l="1"/>
  <c r="E23" i="1" s="1"/>
  <c r="F44" i="1"/>
  <c r="P43" i="1"/>
  <c r="O43" i="1"/>
  <c r="N43" i="1"/>
  <c r="N44" i="1" s="1"/>
  <c r="M43" i="1"/>
  <c r="L43" i="1"/>
  <c r="K43" i="1"/>
  <c r="J43" i="1"/>
  <c r="I43" i="1"/>
  <c r="H43" i="1"/>
  <c r="G43" i="1"/>
  <c r="F43" i="1"/>
  <c r="E43" i="1"/>
  <c r="E44" i="1" s="1"/>
  <c r="E45" i="1" s="1"/>
  <c r="H71" i="1"/>
  <c r="E38" i="1"/>
  <c r="E39" i="1" s="1"/>
  <c r="F32" i="1"/>
  <c r="F33" i="1" s="1"/>
  <c r="E32" i="1"/>
  <c r="E33" i="1" s="1"/>
  <c r="P37" i="1"/>
  <c r="O37" i="1"/>
  <c r="N37" i="1"/>
  <c r="M37" i="1"/>
  <c r="H37" i="1"/>
  <c r="G37" i="1"/>
  <c r="F37" i="1"/>
  <c r="F38" i="1" s="1"/>
  <c r="F39" i="1" s="1"/>
  <c r="O20" i="1" l="1"/>
  <c r="O21" i="1" s="1"/>
  <c r="P20" i="1"/>
  <c r="P21" i="1" s="1"/>
  <c r="O10" i="1"/>
  <c r="J32" i="1"/>
  <c r="J33" i="1" s="1"/>
  <c r="J44" i="1"/>
  <c r="J45" i="1" s="1"/>
  <c r="K32" i="1"/>
  <c r="K33" i="1" s="1"/>
  <c r="K44" i="1"/>
  <c r="K45" i="1" s="1"/>
  <c r="L32" i="1"/>
  <c r="L33" i="1" s="1"/>
  <c r="M44" i="1"/>
  <c r="M45" i="1" s="1"/>
  <c r="G38" i="1"/>
  <c r="G39" i="1" s="1"/>
  <c r="M32" i="1"/>
  <c r="M33" i="1" s="1"/>
  <c r="M38" i="1"/>
  <c r="M39" i="1" s="1"/>
  <c r="N20" i="1"/>
  <c r="N21" i="1" s="1"/>
  <c r="M20" i="1"/>
  <c r="M21" i="1" s="1"/>
  <c r="M23" i="1" s="1"/>
  <c r="M10" i="1"/>
  <c r="I44" i="1"/>
  <c r="I45" i="1" s="1"/>
  <c r="I8" i="1"/>
  <c r="I9" i="1" s="1"/>
  <c r="H38" i="1"/>
  <c r="H39" i="1" s="1"/>
  <c r="N32" i="1"/>
  <c r="N33" i="1" s="1"/>
  <c r="O38" i="1"/>
  <c r="O39" i="1" s="1"/>
  <c r="O41" i="1" s="1"/>
  <c r="O44" i="1"/>
  <c r="O45" i="1" s="1"/>
  <c r="P32" i="1"/>
  <c r="P33" i="1" s="1"/>
  <c r="N45" i="1"/>
  <c r="I32" i="1"/>
  <c r="I33" i="1" s="1"/>
  <c r="O32" i="1"/>
  <c r="O33" i="1" s="1"/>
  <c r="P38" i="1"/>
  <c r="P39" i="1" s="1"/>
  <c r="L44" i="1"/>
  <c r="L45" i="1" s="1"/>
  <c r="P44" i="1"/>
  <c r="P45" i="1" s="1"/>
  <c r="H20" i="1"/>
  <c r="H21" i="1" s="1"/>
  <c r="G20" i="1"/>
  <c r="G21" i="1" s="1"/>
  <c r="J20" i="1"/>
  <c r="J21" i="1" s="1"/>
  <c r="I20" i="1"/>
  <c r="I21" i="1" s="1"/>
  <c r="I10" i="1"/>
  <c r="G32" i="1"/>
  <c r="G33" i="1" s="1"/>
  <c r="K20" i="1"/>
  <c r="K21" i="1" s="1"/>
  <c r="L20" i="1"/>
  <c r="L21" i="1" s="1"/>
  <c r="K10" i="1"/>
  <c r="N38" i="1"/>
  <c r="N39" i="1" s="1"/>
  <c r="H32" i="1"/>
  <c r="H33" i="1" s="1"/>
  <c r="F45" i="1"/>
  <c r="E47" i="1" s="1"/>
  <c r="H44" i="1"/>
  <c r="H45" i="1" s="1"/>
  <c r="G44" i="1"/>
  <c r="G45" i="1" s="1"/>
  <c r="I47" i="1" l="1"/>
  <c r="K47" i="1"/>
  <c r="O23" i="1"/>
  <c r="M35" i="1"/>
  <c r="M41" i="1"/>
  <c r="G23" i="1"/>
  <c r="K23" i="1"/>
  <c r="G35" i="1"/>
  <c r="O47" i="1"/>
  <c r="M47" i="1"/>
  <c r="I23" i="1"/>
  <c r="G47" i="1"/>
  <c r="M71" i="1"/>
  <c r="N71" i="1" s="1"/>
  <c r="O71" i="1"/>
  <c r="P71" i="1" s="1"/>
  <c r="P13" i="1"/>
  <c r="P14" i="1" s="1"/>
  <c r="P15" i="1" s="1"/>
  <c r="O13" i="1"/>
  <c r="O14" i="1" s="1"/>
  <c r="O15" i="1" s="1"/>
  <c r="N13" i="1"/>
  <c r="N14" i="1" s="1"/>
  <c r="N15" i="1" s="1"/>
  <c r="M13" i="1"/>
  <c r="M14" i="1" s="1"/>
  <c r="M15" i="1" s="1"/>
  <c r="L13" i="1"/>
  <c r="L14" i="1" s="1"/>
  <c r="L15" i="1" s="1"/>
  <c r="K13" i="1"/>
  <c r="K14" i="1" s="1"/>
  <c r="K15" i="1" s="1"/>
  <c r="J13" i="1"/>
  <c r="J14" i="1" s="1"/>
  <c r="J15" i="1" s="1"/>
  <c r="I13" i="1"/>
  <c r="I14" i="1" s="1"/>
  <c r="I15" i="1" s="1"/>
  <c r="I17" i="1" s="1"/>
  <c r="H13" i="1"/>
  <c r="H14" i="1" s="1"/>
  <c r="H15" i="1" s="1"/>
  <c r="G13" i="1"/>
  <c r="G14" i="1" s="1"/>
  <c r="G15" i="1" s="1"/>
  <c r="G17" i="1" s="1"/>
  <c r="F13" i="1"/>
  <c r="F14" i="1" s="1"/>
  <c r="F15" i="1" s="1"/>
  <c r="E13" i="1"/>
  <c r="E14" i="1" s="1"/>
  <c r="E15" i="1" s="1"/>
  <c r="E17" i="1" s="1"/>
  <c r="L25" i="1"/>
  <c r="L26" i="1" s="1"/>
  <c r="L27" i="1" s="1"/>
  <c r="J24" i="1"/>
  <c r="J25" i="1" s="1"/>
  <c r="J26" i="1" s="1"/>
  <c r="J27" i="1" s="1"/>
  <c r="I24" i="1"/>
  <c r="I25" i="1" s="1"/>
  <c r="I26" i="1" s="1"/>
  <c r="I27" i="1" s="1"/>
  <c r="I29" i="1" s="1"/>
  <c r="E24" i="1"/>
  <c r="E25" i="1" s="1"/>
  <c r="E26" i="1" s="1"/>
  <c r="E27" i="1" s="1"/>
  <c r="F24" i="1"/>
  <c r="F25" i="1" s="1"/>
  <c r="F26" i="1" s="1"/>
  <c r="F27" i="1" s="1"/>
  <c r="L24" i="1"/>
  <c r="K24" i="1"/>
  <c r="K25" i="1" s="1"/>
  <c r="K26" i="1" s="1"/>
  <c r="K27" i="1" s="1"/>
  <c r="K29" i="1" s="1"/>
  <c r="I35" i="1"/>
  <c r="K35" i="1"/>
  <c r="O35" i="1"/>
  <c r="G41" i="1"/>
  <c r="J36" i="1"/>
  <c r="J37" i="1" s="1"/>
  <c r="J38" i="1" s="1"/>
  <c r="J39" i="1" s="1"/>
  <c r="I36" i="1"/>
  <c r="I37" i="1" s="1"/>
  <c r="I38" i="1" s="1"/>
  <c r="I39" i="1" s="1"/>
  <c r="L36" i="1"/>
  <c r="L37" i="1" s="1"/>
  <c r="L38" i="1" s="1"/>
  <c r="L39" i="1" s="1"/>
  <c r="K36" i="1"/>
  <c r="K37" i="1" s="1"/>
  <c r="K38" i="1" s="1"/>
  <c r="K39" i="1" s="1"/>
  <c r="O17" i="1" l="1"/>
  <c r="M17" i="1"/>
  <c r="E29" i="1"/>
  <c r="K17" i="1"/>
  <c r="E35" i="1"/>
  <c r="E41" i="1"/>
  <c r="I41" i="1"/>
  <c r="K41" i="1"/>
  <c r="F7" i="1" l="1"/>
  <c r="F8" i="1" s="1"/>
  <c r="F9" i="1" s="1"/>
  <c r="G7" i="1"/>
  <c r="G9" i="1" s="1"/>
  <c r="H7" i="1"/>
  <c r="H9" i="1" s="1"/>
  <c r="J7" i="1"/>
  <c r="J8" i="1" s="1"/>
  <c r="J9" i="1" s="1"/>
  <c r="K7" i="1"/>
  <c r="K8" i="1" s="1"/>
  <c r="K9" i="1" s="1"/>
  <c r="L7" i="1"/>
  <c r="L8" i="1" s="1"/>
  <c r="L9" i="1" s="1"/>
  <c r="M7" i="1"/>
  <c r="M8" i="1" s="1"/>
  <c r="M9" i="1" s="1"/>
  <c r="N7" i="1"/>
  <c r="N8" i="1" s="1"/>
  <c r="N9" i="1" s="1"/>
  <c r="O7" i="1"/>
  <c r="O8" i="1" s="1"/>
  <c r="O9" i="1" s="1"/>
  <c r="P7" i="1"/>
  <c r="P8" i="1" s="1"/>
  <c r="P9" i="1" s="1"/>
  <c r="E7" i="1"/>
  <c r="E8" i="1" s="1"/>
  <c r="E9" i="1" s="1"/>
  <c r="E11" i="1" s="1"/>
  <c r="G11" i="1" l="1"/>
  <c r="K11" i="1"/>
  <c r="H10" i="1"/>
  <c r="N23" i="1"/>
  <c r="L10" i="1"/>
  <c r="P23" i="1"/>
  <c r="H11" i="1"/>
  <c r="I11" i="1"/>
  <c r="O11" i="1"/>
  <c r="M11" i="1"/>
  <c r="E69" i="1" l="1"/>
  <c r="F69" i="1" s="1"/>
  <c r="F23" i="1"/>
  <c r="E73" i="1" s="1"/>
  <c r="F73" i="1" s="1"/>
  <c r="P41" i="1"/>
  <c r="O70" i="1" s="1"/>
  <c r="P70" i="1" s="1"/>
  <c r="N10" i="1"/>
  <c r="N35" i="1"/>
  <c r="M74" i="1" s="1"/>
  <c r="N74" i="1" s="1"/>
  <c r="L47" i="1"/>
  <c r="K75" i="1" s="1"/>
  <c r="L75" i="1" s="1"/>
  <c r="J17" i="1"/>
  <c r="I72" i="1" s="1"/>
  <c r="J72" i="1" s="1"/>
  <c r="H17" i="1"/>
  <c r="G72" i="1" s="1"/>
  <c r="H72" i="1" s="1"/>
  <c r="F47" i="1"/>
  <c r="E75" i="1" s="1"/>
  <c r="F75" i="1" s="1"/>
  <c r="N41" i="1"/>
  <c r="M70" i="1" s="1"/>
  <c r="N70" i="1" s="1"/>
  <c r="F17" i="1"/>
  <c r="E72" i="1" s="1"/>
  <c r="F72" i="1" s="1"/>
  <c r="J10" i="1"/>
  <c r="L17" i="1"/>
  <c r="K72" i="1" s="1"/>
  <c r="L72" i="1" s="1"/>
  <c r="P10" i="1"/>
  <c r="H23" i="1"/>
  <c r="G73" i="1" s="1"/>
  <c r="H73" i="1" s="1"/>
  <c r="M73" i="1"/>
  <c r="N73" i="1" s="1"/>
  <c r="O73" i="1"/>
  <c r="P73" i="1" s="1"/>
  <c r="J47" i="1"/>
  <c r="I75" i="1" s="1"/>
  <c r="J75" i="1" s="1"/>
  <c r="P17" i="1"/>
  <c r="O72" i="1" s="1"/>
  <c r="P72" i="1" s="1"/>
  <c r="H35" i="1"/>
  <c r="G74" i="1" s="1"/>
  <c r="H74" i="1" s="1"/>
  <c r="N47" i="1"/>
  <c r="M75" i="1" s="1"/>
  <c r="N75" i="1" s="1"/>
  <c r="J23" i="1"/>
  <c r="I73" i="1" s="1"/>
  <c r="J73" i="1" s="1"/>
  <c r="L35" i="1"/>
  <c r="K74" i="1" s="1"/>
  <c r="L74" i="1" s="1"/>
  <c r="J29" i="1"/>
  <c r="I71" i="1" s="1"/>
  <c r="J71" i="1" s="1"/>
  <c r="H47" i="1"/>
  <c r="G75" i="1" s="1"/>
  <c r="H75" i="1" s="1"/>
  <c r="F29" i="1"/>
  <c r="E71" i="1" s="1"/>
  <c r="F71" i="1" s="1"/>
  <c r="L29" i="1"/>
  <c r="K71" i="1" s="1"/>
  <c r="L71" i="1" s="1"/>
  <c r="H41" i="1"/>
  <c r="G70" i="1" s="1"/>
  <c r="H70" i="1" s="1"/>
  <c r="N17" i="1"/>
  <c r="M72" i="1" s="1"/>
  <c r="N72" i="1" s="1"/>
  <c r="G69" i="1"/>
  <c r="H69" i="1" s="1"/>
  <c r="P35" i="1"/>
  <c r="O74" i="1" s="1"/>
  <c r="P74" i="1" s="1"/>
  <c r="P47" i="1"/>
  <c r="O75" i="1" s="1"/>
  <c r="P75" i="1" s="1"/>
  <c r="J35" i="1"/>
  <c r="I74" i="1" s="1"/>
  <c r="J74" i="1" s="1"/>
  <c r="L23" i="1"/>
  <c r="K73" i="1" s="1"/>
  <c r="L73" i="1" s="1"/>
  <c r="J41" i="1"/>
  <c r="I70" i="1" s="1"/>
  <c r="J70" i="1" s="1"/>
  <c r="F35" i="1"/>
  <c r="E74" i="1" s="1"/>
  <c r="F74" i="1" s="1"/>
  <c r="L41" i="1"/>
  <c r="K70" i="1" s="1"/>
  <c r="L70" i="1" s="1"/>
  <c r="F41" i="1"/>
  <c r="E70" i="1" s="1"/>
  <c r="F70" i="1" s="1"/>
  <c r="L11" i="1"/>
  <c r="K69" i="1" s="1"/>
  <c r="L69" i="1" s="1"/>
  <c r="J11" i="1"/>
  <c r="I69" i="1" s="1"/>
  <c r="J69" i="1" s="1"/>
  <c r="N11" i="1"/>
  <c r="M69" i="1" s="1"/>
  <c r="N69" i="1" s="1"/>
  <c r="P11" i="1"/>
  <c r="O69" i="1" s="1"/>
  <c r="P69" i="1" s="1"/>
</calcChain>
</file>

<file path=xl/sharedStrings.xml><?xml version="1.0" encoding="utf-8"?>
<sst xmlns="http://schemas.openxmlformats.org/spreadsheetml/2006/main" count="199" uniqueCount="122">
  <si>
    <t>Nicotine Source</t>
  </si>
  <si>
    <t>Country</t>
  </si>
  <si>
    <t>Switzerland</t>
  </si>
  <si>
    <t>Germany</t>
  </si>
  <si>
    <t>France</t>
  </si>
  <si>
    <t>UK</t>
  </si>
  <si>
    <t>Sweden</t>
  </si>
  <si>
    <t>NRT gums 1cpe</t>
  </si>
  <si>
    <t>Snus 1cpe</t>
  </si>
  <si>
    <t>ENDS</t>
  </si>
  <si>
    <t>in USD</t>
  </si>
  <si>
    <t>USA</t>
  </si>
  <si>
    <t>n/a</t>
  </si>
  <si>
    <t>https://www.snusexpress.com/eu/en/</t>
  </si>
  <si>
    <t>Paid by user</t>
  </si>
  <si>
    <t>Cigarette pack equivalent (cpe = 20mg nicotine, bioav. normalized)</t>
  </si>
  <si>
    <t>Bioavailability normalized (65%)</t>
  </si>
  <si>
    <t>Bioavailability normalized (30%)</t>
  </si>
  <si>
    <t>COMMENTS</t>
  </si>
  <si>
    <t>REFS</t>
  </si>
  <si>
    <t>Hukkanen J, Jacob P 3rd, Benowitz NL. Metabolism and disposition kinetics of nicotine. Pharmacol Rev. 2005 Mar;57(1):79-115. doi: 10.1124/pr.57.1.3. PMID: 15734728.</t>
  </si>
  <si>
    <t xml:space="preserve">Swiss Compendium: https://compendium.ch/product/12167-nicorette-original-kaudepots-2-mg/mpro </t>
  </si>
  <si>
    <t>Lunell E, Lunell M. Steady-state nicotine plasma levels following use of four different types of Swedish snus compared with 2-mg Nicorette chewing gum: a crossover study. Nicotine Tob Res. 2005 Jun;7(3):397-403. doi: 10.1080/14622200500125468. PMID: 16085507.</t>
  </si>
  <si>
    <t>Digard H, Proctor C, Kulasekaran A, Malmqvist U, Richter A. Determination of nicotine absorption from multiple tobacco products and nicotine gum. Nicotine Tob Res. 2013 Jan;15(1):255-61. doi: 10.1093/ntr/nts123. Epub 2012 May 13. PMID: 22585541; PMCID: PMC3524070.</t>
  </si>
  <si>
    <t>very old article: Russell MA, Feyerabend C, Cole PV. Plasma nicotine levels after cigarette smoking and chewing nicotine gum. Br Med J. 1976 May 1</t>
  </si>
  <si>
    <t>Simonavicius E, McNeill A, Shahab L, Brose LS. Heat-not-burn tobacco products: a systematic literature review. Tob Control. 2019 Sep;28(5):582-594. doi: 10.1136/tobaccocontrol-2018-054419. Epub 2018 Sep 4. PMID: 30181382; PMCID: PMC6824610.</t>
  </si>
  <si>
    <t>Haziza C, de La Bourdonnaye G, Skiada D, Ancerewicz J, Baker G, Picavet P, Lüdicke F. Evaluation of the Tobacco Heating System 2.2. Part 8: 5-Day randomized reduced exposure clinical study in Poland. Regul Toxicol Pharmacol. 2016 Nov 30;81  (PMI)</t>
  </si>
  <si>
    <t>St Helen G, Havel C, Dempsey DA, Jacob P 3rd, Benowitz NL. Nicotine delivery, retention and pharmacokinetics from various electronic cigarettes. Addiction. 2016 Mar;111(3):535-44. doi: 10.1111/add.13183. Epub 2015 Nov 11. PMID: 26430813; PMCID: PMC4749433.</t>
  </si>
  <si>
    <t>Farsalinos KE, Yannovits N, Sarri T, Voudris V, Poulas K. Nicotine Delivery to the Aerosol of a Heat-Not-Burn Tobacco Product: Comparison With a Tobacco Cigarette and E-Cigarettes. Nicotine Tob Res. 2018 Jul 9;20(8):1004-1009. doi: 10.1093/ntr/ntx138. PMID: 28637344.</t>
  </si>
  <si>
    <t>Data from EUROMONITOR IF NOT FURTHER SPECIFIED</t>
  </si>
  <si>
    <t>Cigarette cheapest / most expensive</t>
  </si>
  <si>
    <t>NRT gums 2mg  cheapest / most expensive</t>
  </si>
  <si>
    <t>cheap</t>
  </si>
  <si>
    <t>expensive</t>
  </si>
  <si>
    <t>Mean / mean compared</t>
  </si>
  <si>
    <t>ENDS ml cheapest / most expensive</t>
  </si>
  <si>
    <t>https://www.iqfan.eu/Where-to-buy-HEETS-globally-flavors-and-prices-map-of-countries-where-you-can-buy-IQOS-A_6487</t>
  </si>
  <si>
    <t>24portions=16g tobacco, up to 48mg nicotine/g tobacco</t>
  </si>
  <si>
    <t>Snus pouch cheapest / most expensive</t>
  </si>
  <si>
    <t>https://www.snusexpress.com/ch</t>
  </si>
  <si>
    <t>UK pays 90-100%, France 65%</t>
  </si>
  <si>
    <t>Cigarettes</t>
  </si>
  <si>
    <t>Tobacco</t>
  </si>
  <si>
    <t>SNUS</t>
  </si>
  <si>
    <t>Confidence Interval</t>
  </si>
  <si>
    <t>https://www.aerzteblatt.de/int/archive/article/211744/Smoking-cessation-attempts-and-common-strategies-employed-a-Germany-wide-representative-survey-conducted-in-19-waves-from-2016-to-nbsp-2019-(The-DEBRA-Study)-and-analyzed-by-socioeconomic-status</t>
  </si>
  <si>
    <t>Mean / mean compared (FULL PRICE)</t>
  </si>
  <si>
    <t>https://data.worldbank.org/indicator/NY.GDP.PCAP.CD</t>
  </si>
  <si>
    <t>Paid compared to 1 pack in CH</t>
  </si>
  <si>
    <t>Bioavailability normalized (100%)</t>
  </si>
  <si>
    <t>Bioavailability normalized (80%)</t>
  </si>
  <si>
    <t>ENDS CLOSED pod cheapest / most expensive</t>
  </si>
  <si>
    <t>Assuming 1 pod/day</t>
  </si>
  <si>
    <t>e.g. logic</t>
  </si>
  <si>
    <t>ENDS closed</t>
  </si>
  <si>
    <t>Price accoring to WHO 2018, most sold GDP adapted / compared</t>
  </si>
  <si>
    <t>https://www.who.int/docs/default-source/tobacco-hq/global-tobacco-report-2019/table-9-1-taxes-and-retail-price-for-a-pack-of-20-cigarette-most-so.xls?sfvrsn=afb960ef_4</t>
  </si>
  <si>
    <t>TTS</t>
  </si>
  <si>
    <t>*For an average tobacco smoker smoking 1 pack of cigarettes per day, price of equivalent nicotine delivery considering nicotine concentration of alternate nicotine delivery methods and bioavailability in blood. Monetary amount normalized to purchasing power across countries based on gross domestic product (GDP) per capita. Bioavailability for tobacco cigarettes set at 1, normalized bioavailability set to 0.80 for tobacco toasting systems (IQOS, PMI), 0.3 for Snus, 0.95 for nicotine patches, 0.65 for nicotine gums, 1 for E-cigarettes (nicotine vaporizers). Range of costs presented in brackets according to Euromonitor Report 2019.</t>
  </si>
  <si>
    <t>ENDS open</t>
  </si>
  <si>
    <t>Snus / nicotine pouches</t>
  </si>
  <si>
    <t>Gums (price)</t>
  </si>
  <si>
    <t>Gums (paid)</t>
  </si>
  <si>
    <t>pNRT gums (price)</t>
  </si>
  <si>
    <t>pNRT gums (paid)</t>
  </si>
  <si>
    <r>
      <t xml:space="preserve">ENDS 1cpe </t>
    </r>
    <r>
      <rPr>
        <sz val="11"/>
        <rFont val="Calibri"/>
        <family val="2"/>
        <scheme val="minor"/>
      </rPr>
      <t>(incl 10% of pod costs for device)</t>
    </r>
  </si>
  <si>
    <t>Heated tobacco products</t>
  </si>
  <si>
    <r>
      <t xml:space="preserve">ENDS 1cpe </t>
    </r>
    <r>
      <rPr>
        <sz val="11"/>
        <rFont val="Calibri"/>
        <family val="2"/>
        <scheme val="minor"/>
      </rPr>
      <t>(incl 20% of liquid costs for device and coils)</t>
    </r>
  </si>
  <si>
    <t>Assuming 3.5ml/day*</t>
  </si>
  <si>
    <t>*We estimated the amount of liquid needed to vape to achieve the same amount of nicotine delivered to the brain as by a pack of 20 cigarettes (= 20mg, similar bioavailability and kinetics). With a 1% liquid (10mg/ml), this would equivalate to 2ml needed per day. We conservatively adjusted our estimate upwards to 3.5ml per day according to experiences we made in an ongoing RCT with ENDS as smoking cessation and findings from previous studies. According to Euromonitor, a bottle of 10ml of e-liquid costs 5 USD. This means that in one month, an ENDS user will spend 3.5ml * 30 days / 10ml bottle * 5 USD = 52.5 USD on e-liquids. Over a year, this are 600 USD. A beginner device costs 30 USD according to Euromonitor. We added 20% of the costs of liquids (120 USD / year) for devices and coils.</t>
  </si>
  <si>
    <t>https://pubmed.ncbi.nlm.nih.gov/25380748/</t>
  </si>
  <si>
    <t>HTP cheapest / most expensive</t>
  </si>
  <si>
    <r>
      <t xml:space="preserve">HTP 1cpe </t>
    </r>
    <r>
      <rPr>
        <sz val="11"/>
        <rFont val="Calibri"/>
        <family val="2"/>
        <scheme val="minor"/>
      </rPr>
      <t>(incl 10% of sticks costs for device)</t>
    </r>
  </si>
  <si>
    <t>Assuming 10 pouches/day for nic content</t>
  </si>
  <si>
    <t>Purchasing power adjusted per capita GDP</t>
  </si>
  <si>
    <t>Factor pp-pcGDP</t>
  </si>
  <si>
    <t>https://ec.europa.eu/eurostat/databrowser/view/sdg_10_10/default/table?lang=en</t>
  </si>
  <si>
    <t>Factor pp-pcGDP adjusted</t>
  </si>
  <si>
    <t>Supplement Table 1: Raw prices of tobacco-based and non-tobacco-based nicotine products across countries in 2019.</t>
  </si>
  <si>
    <t>Product name</t>
  </si>
  <si>
    <t>Raw prices: cheapest / most expensive in USD</t>
  </si>
  <si>
    <t>Tobacco cigarettes pack (20 cigs)</t>
  </si>
  <si>
    <t>8.40 / 9.00</t>
  </si>
  <si>
    <t>5.20 / 7.20</t>
  </si>
  <si>
    <t>10.60 / 11.80</t>
  </si>
  <si>
    <t>5.60 / 7.40</t>
  </si>
  <si>
    <t>8.60 / 9.40</t>
  </si>
  <si>
    <t>9.60 / 15.00</t>
  </si>
  <si>
    <t>pNRT gums 2mg (10 pieces)</t>
  </si>
  <si>
    <t>5.00 / 7.90</t>
  </si>
  <si>
    <t>4.20 / 4.40</t>
  </si>
  <si>
    <t>1.90 / 4.50</t>
  </si>
  <si>
    <t>2.00 / 3.10</t>
  </si>
  <si>
    <t>1.10 / 2.00</t>
  </si>
  <si>
    <t>1.30 / 1.90</t>
  </si>
  <si>
    <t>Snus / nicotine pouches (10 pieces)</t>
  </si>
  <si>
    <t>1.12 / 1.96</t>
  </si>
  <si>
    <t>2.29 / 3.21</t>
  </si>
  <si>
    <t>ENDS open (3.5ml plus 20% for device / coils)*</t>
  </si>
  <si>
    <t>2.48 / 3.19</t>
  </si>
  <si>
    <t>2.77 / 3.28</t>
  </si>
  <si>
    <t>1.39 / 2.06</t>
  </si>
  <si>
    <t>0.38 / 2.90</t>
  </si>
  <si>
    <t>2.35 / 2.73</t>
  </si>
  <si>
    <t>0.76 / 3.23</t>
  </si>
  <si>
    <t>ENDS closed (1 pod plus 10% for device)</t>
  </si>
  <si>
    <t>4.12 / 4.12</t>
  </si>
  <si>
    <t>2.87 / 2.87</t>
  </si>
  <si>
    <t>5.5 / 7.69</t>
  </si>
  <si>
    <t>2.75 / 2.75</t>
  </si>
  <si>
    <t>2.85 / 2.85</t>
  </si>
  <si>
    <t>2.27 / 5.67</t>
  </si>
  <si>
    <t>HTP (20 sticks plus 10% for device)</t>
  </si>
  <si>
    <t>9.02 / 9.02</t>
  </si>
  <si>
    <t>6.6 / 6.6</t>
  </si>
  <si>
    <t>6.05 / 6.05</t>
  </si>
  <si>
    <t>6.34 / 6.34</t>
  </si>
  <si>
    <t>8.58 / 8.58</t>
  </si>
  <si>
    <t>9.9 / 11.44</t>
  </si>
  <si>
    <t>Snus / nicotine pouches prices gathered online, all others from Euromonitor International 2019.</t>
  </si>
  <si>
    <t>* We estimated the amount of liquid needed to vape to achieve the same amount of nicotine delivered to the brain as by a pack of 20 cigarettes (= 20mg, similar bioavailability and kinetics). With a 1% liquid (10mg/ml), this would equivalate to 2ml needed per day. We conservatively adjusted our estimate upwards to 3.5ml per day according to experiences we made in an ongoing RCT with ENDS as smoking cessation and findings from previous studies. According to Euromonitor, a bottle of 10ml of e-liquid costs 5 USD. This means that in one month, an ENDS user will spend 3.5ml * 30 days / 10ml bottle * 5 USD = 52.5 USD on e-liquids. Over a year, this are 600 USD. A beginner device costs 30 USD according to Euromonitor. We added 20% of the costs of liquids (120 USD / year) for devices and coils.</t>
  </si>
  <si>
    <t>© 2022 Jakob J. et 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</si>
</sst>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Calibri"/>
      <family val="2"/>
      <scheme val="minor"/>
    </font>
    <font>
      <i/>
      <sz val="11"/>
      <color theme="1"/>
      <name val="Calibri"/>
      <family val="2"/>
      <scheme val="minor"/>
    </font>
    <font>
      <u/>
      <sz val="11"/>
      <color theme="10"/>
      <name val="Calibri"/>
      <family val="2"/>
      <scheme val="minor"/>
    </font>
    <font>
      <sz val="11"/>
      <name val="Calibri"/>
      <family val="2"/>
      <scheme val="minor"/>
    </font>
    <font>
      <u/>
      <sz val="11"/>
      <name val="Calibri"/>
      <family val="2"/>
      <scheme val="minor"/>
    </font>
    <font>
      <b/>
      <sz val="11"/>
      <name val="Calibri"/>
      <family val="2"/>
      <scheme val="minor"/>
    </font>
    <font>
      <sz val="10"/>
      <name val="Segoe UI"/>
      <family val="2"/>
    </font>
    <font>
      <sz val="12"/>
      <name val="Segoe UI"/>
      <family val="2"/>
    </font>
    <font>
      <sz val="11"/>
      <color theme="1"/>
      <name val="Times New Roman"/>
      <family val="1"/>
      <charset val="161"/>
    </font>
    <font>
      <sz val="12"/>
      <color theme="1"/>
      <name val="Times New Roman"/>
      <family val="1"/>
      <charset val="161"/>
    </font>
  </fonts>
  <fills count="2">
    <fill>
      <patternFill patternType="none"/>
    </fill>
    <fill>
      <patternFill patternType="gray125"/>
    </fill>
  </fills>
  <borders count="8">
    <border>
      <left/>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s>
  <cellStyleXfs count="2">
    <xf numFmtId="0" fontId="0" fillId="0" borderId="0"/>
    <xf numFmtId="0" fontId="3" fillId="0" borderId="0" applyNumberFormat="0" applyFill="0" applyBorder="0" applyAlignment="0" applyProtection="0"/>
  </cellStyleXfs>
  <cellXfs count="21">
    <xf numFmtId="0" fontId="0" fillId="0" borderId="0" xfId="0"/>
    <xf numFmtId="0" fontId="1" fillId="0" borderId="0" xfId="0" applyFont="1"/>
    <xf numFmtId="0" fontId="2" fillId="0" borderId="0" xfId="0" applyFont="1"/>
    <xf numFmtId="0" fontId="3" fillId="0" borderId="0" xfId="1"/>
    <xf numFmtId="0" fontId="4" fillId="0" borderId="0" xfId="0" applyFont="1"/>
    <xf numFmtId="0" fontId="5" fillId="0" borderId="0" xfId="0" applyFont="1"/>
    <xf numFmtId="0" fontId="6" fillId="0" borderId="0" xfId="0" applyFont="1"/>
    <xf numFmtId="0" fontId="5" fillId="0" borderId="0" xfId="1" applyFont="1" applyAlignment="1">
      <alignment vertical="center"/>
    </xf>
    <xf numFmtId="0" fontId="4" fillId="0" borderId="1" xfId="0" applyFont="1" applyBorder="1"/>
    <xf numFmtId="0" fontId="6" fillId="0" borderId="1" xfId="0" applyFont="1" applyBorder="1"/>
    <xf numFmtId="0" fontId="7" fillId="0" borderId="0" xfId="0" applyFont="1"/>
    <xf numFmtId="0" fontId="8" fillId="0" borderId="0" xfId="0" applyFont="1"/>
    <xf numFmtId="0" fontId="9" fillId="0" borderId="0" xfId="0" applyFont="1" applyAlignment="1">
      <alignment vertical="center"/>
    </xf>
    <xf numFmtId="0" fontId="10" fillId="0" borderId="0" xfId="0" applyFont="1" applyAlignment="1">
      <alignment vertical="center"/>
    </xf>
    <xf numFmtId="0" fontId="9" fillId="0" borderId="6" xfId="0" applyFont="1" applyBorder="1" applyAlignment="1">
      <alignment vertical="center" wrapText="1"/>
    </xf>
    <xf numFmtId="0" fontId="9" fillId="0" borderId="3" xfId="0" applyFont="1" applyBorder="1" applyAlignment="1">
      <alignment vertical="center" wrapText="1"/>
    </xf>
    <xf numFmtId="0" fontId="9" fillId="0" borderId="2" xfId="0" applyFont="1" applyBorder="1" applyAlignment="1">
      <alignment vertical="center" wrapText="1"/>
    </xf>
    <xf numFmtId="0" fontId="9" fillId="0" borderId="3" xfId="0" applyFont="1" applyBorder="1" applyAlignment="1">
      <alignment vertical="center" wrapText="1"/>
    </xf>
    <xf numFmtId="0" fontId="9" fillId="0" borderId="5" xfId="0" applyFont="1" applyBorder="1" applyAlignment="1">
      <alignment vertical="center" wrapText="1"/>
    </xf>
    <xf numFmtId="0" fontId="9" fillId="0" borderId="7" xfId="0" applyFont="1" applyBorder="1" applyAlignment="1">
      <alignment vertical="center" wrapText="1"/>
    </xf>
    <xf numFmtId="0" fontId="9" fillId="0" borderId="4" xfId="0" applyFont="1" applyBorder="1" applyAlignment="1">
      <alignmen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CH"/>
              <a:t>Relative price of tobacco-based and non-tobacco-based nicotine products accross countries</a:t>
            </a:r>
            <a:r>
              <a:rPr lang="de-CH" baseline="0"/>
              <a:t> in 2019 compared to one pack of </a:t>
            </a:r>
            <a:r>
              <a:rPr lang="de-CH" sz="1400" b="0" i="0" u="none" strike="noStrike" baseline="0">
                <a:effectLst/>
              </a:rPr>
              <a:t>tobacco cigarettes in Switzerland, purchasing power adjusted GDP per capita and bioavailability adjusted*</a:t>
            </a:r>
            <a:endParaRPr lang="de-CH"/>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'Table 2'!$B$6</c:f>
              <c:strCache>
                <c:ptCount val="1"/>
                <c:pt idx="0">
                  <c:v>Cigarettes</c:v>
                </c:pt>
              </c:strCache>
            </c:strRef>
          </c:tx>
          <c:spPr>
            <a:solidFill>
              <a:schemeClr val="tx1"/>
            </a:solidFill>
            <a:ln>
              <a:solidFill>
                <a:schemeClr val="tx1"/>
              </a:solidFill>
            </a:ln>
            <a:effectLst/>
          </c:spPr>
          <c:invertIfNegative val="0"/>
          <c:errBars>
            <c:errBarType val="both"/>
            <c:errValType val="cust"/>
            <c:noEndCap val="0"/>
            <c:plus>
              <c:numRef>
                <c:f>('Table 2'!$F$69,'Table 2'!$H$69,'Table 2'!$J$69,'Table 2'!$L$69,'Table 2'!$N$69,'Table 2'!$P$69)</c:f>
                <c:numCache>
                  <c:formatCode>General</c:formatCode>
                  <c:ptCount val="6"/>
                  <c:pt idx="0">
                    <c:v>3.4482758620689537E-2</c:v>
                  </c:pt>
                  <c:pt idx="1">
                    <c:v>0.14860643556849537</c:v>
                  </c:pt>
                  <c:pt idx="2">
                    <c:v>7.6282400560441971E-2</c:v>
                  </c:pt>
                  <c:pt idx="3">
                    <c:v>0.13662979830839292</c:v>
                  </c:pt>
                  <c:pt idx="4">
                    <c:v>6.7857637446336896E-2</c:v>
                  </c:pt>
                  <c:pt idx="5">
                    <c:v>0.45529630394383652</c:v>
                  </c:pt>
                </c:numCache>
              </c:numRef>
            </c:plus>
            <c:minus>
              <c:numRef>
                <c:f>('Table 2'!$E$69,'Table 2'!$G$69,'Table 2'!$I$69,'Table 2'!$K$69,'Table 2'!$M$69,'Table 2'!$O$69)</c:f>
                <c:numCache>
                  <c:formatCode>General</c:formatCode>
                  <c:ptCount val="6"/>
                  <c:pt idx="0">
                    <c:v>3.4482758620689537E-2</c:v>
                  </c:pt>
                  <c:pt idx="1">
                    <c:v>0.14860643556849537</c:v>
                  </c:pt>
                  <c:pt idx="2">
                    <c:v>7.6282400560441971E-2</c:v>
                  </c:pt>
                  <c:pt idx="3">
                    <c:v>0.13662979830839292</c:v>
                  </c:pt>
                  <c:pt idx="4">
                    <c:v>6.7857637446336896E-2</c:v>
                  </c:pt>
                  <c:pt idx="5">
                    <c:v>0.45529630394383652</c:v>
                  </c:pt>
                </c:numCache>
              </c:numRef>
            </c:minus>
            <c:spPr>
              <a:noFill/>
              <a:ln w="9525" cap="flat" cmpd="sng" algn="ctr">
                <a:solidFill>
                  <a:schemeClr val="tx1">
                    <a:lumMod val="65000"/>
                    <a:lumOff val="35000"/>
                  </a:schemeClr>
                </a:solidFill>
                <a:round/>
              </a:ln>
              <a:effectLst/>
            </c:spPr>
          </c:errBars>
          <c:cat>
            <c:strRef>
              <c:f>('Table 2'!$E$4,'Table 2'!$G$4,'Table 2'!$I$4,'Table 2'!$K$4,'Table 2'!$M$4,'Table 2'!$O$4)</c:f>
              <c:strCache>
                <c:ptCount val="6"/>
                <c:pt idx="0">
                  <c:v>Switzerland</c:v>
                </c:pt>
                <c:pt idx="1">
                  <c:v>Germany</c:v>
                </c:pt>
                <c:pt idx="2">
                  <c:v>USA</c:v>
                </c:pt>
                <c:pt idx="3">
                  <c:v>Sweden</c:v>
                </c:pt>
                <c:pt idx="4">
                  <c:v>France</c:v>
                </c:pt>
                <c:pt idx="5">
                  <c:v>UK</c:v>
                </c:pt>
              </c:strCache>
            </c:strRef>
          </c:cat>
          <c:val>
            <c:numRef>
              <c:f>('Table 2'!$F$11,'Table 2'!$H$11,'Table 2'!$J$11,'Table 2'!$L$11,'Table 2'!$N$11,'Table 2'!$P$11)</c:f>
              <c:numCache>
                <c:formatCode>General</c:formatCode>
                <c:ptCount val="6"/>
                <c:pt idx="0">
                  <c:v>1</c:v>
                </c:pt>
                <c:pt idx="1">
                  <c:v>0.92135990052467187</c:v>
                </c:pt>
                <c:pt idx="2">
                  <c:v>1.4239381437949199</c:v>
                </c:pt>
                <c:pt idx="3">
                  <c:v>0.98677076556061605</c:v>
                </c:pt>
                <c:pt idx="4">
                  <c:v>1.526796842542584</c:v>
                </c:pt>
                <c:pt idx="5">
                  <c:v>2.0741276068552552</c:v>
                </c:pt>
              </c:numCache>
            </c:numRef>
          </c:val>
          <c:extLst>
            <c:ext xmlns:c16="http://schemas.microsoft.com/office/drawing/2014/chart" uri="{C3380CC4-5D6E-409C-BE32-E72D297353CC}">
              <c16:uniqueId val="{00000000-618E-4A8A-AE06-09A22842F5FD}"/>
            </c:ext>
          </c:extLst>
        </c:ser>
        <c:ser>
          <c:idx val="5"/>
          <c:order val="1"/>
          <c:tx>
            <c:strRef>
              <c:f>'Table 2'!$B$36</c:f>
              <c:strCache>
                <c:ptCount val="1"/>
                <c:pt idx="0">
                  <c:v>Heated tobacco products</c:v>
                </c:pt>
              </c:strCache>
            </c:strRef>
          </c:tx>
          <c:spPr>
            <a:solidFill>
              <a:schemeClr val="bg2">
                <a:lumMod val="50000"/>
              </a:schemeClr>
            </a:solidFill>
            <a:ln>
              <a:solidFill>
                <a:schemeClr val="bg2">
                  <a:lumMod val="50000"/>
                </a:schemeClr>
              </a:solidFill>
            </a:ln>
            <a:effectLst/>
          </c:spPr>
          <c:invertIfNegative val="0"/>
          <c:errBars>
            <c:errBarType val="both"/>
            <c:errValType val="cust"/>
            <c:noEndCap val="0"/>
            <c:plus>
              <c:numRef>
                <c:f>('Table 2'!$F$70,'Table 2'!$H$70,'Table 2'!$J$70,'Table 2'!$L$70,'Table 2'!$N$70,'Table 2'!$P$70)</c:f>
                <c:numCache>
                  <c:formatCode>General</c:formatCode>
                  <c:ptCount val="6"/>
                  <c:pt idx="0">
                    <c:v>0</c:v>
                  </c:pt>
                  <c:pt idx="1">
                    <c:v>0</c:v>
                  </c:pt>
                  <c:pt idx="2">
                    <c:v>0</c:v>
                  </c:pt>
                  <c:pt idx="3">
                    <c:v>0</c:v>
                  </c:pt>
                  <c:pt idx="4">
                    <c:v>0</c:v>
                  </c:pt>
                  <c:pt idx="5">
                    <c:v>0.16230470094294167</c:v>
                  </c:pt>
                </c:numCache>
              </c:numRef>
            </c:plus>
            <c:minus>
              <c:numRef>
                <c:f>('Table 2'!$E$70,'Table 2'!$G$70,'Table 2'!$I$70,'Table 2'!$K$70,'Table 2'!$M$70,'Table 2'!$O$70)</c:f>
                <c:numCache>
                  <c:formatCode>General</c:formatCode>
                  <c:ptCount val="6"/>
                  <c:pt idx="0">
                    <c:v>0</c:v>
                  </c:pt>
                  <c:pt idx="1">
                    <c:v>0</c:v>
                  </c:pt>
                  <c:pt idx="2">
                    <c:v>0</c:v>
                  </c:pt>
                  <c:pt idx="3">
                    <c:v>0</c:v>
                  </c:pt>
                  <c:pt idx="4">
                    <c:v>0</c:v>
                  </c:pt>
                  <c:pt idx="5">
                    <c:v>0.16230470094294167</c:v>
                  </c:pt>
                </c:numCache>
              </c:numRef>
            </c:minus>
            <c:spPr>
              <a:noFill/>
              <a:ln w="9525" cap="flat" cmpd="sng" algn="ctr">
                <a:solidFill>
                  <a:schemeClr val="tx1">
                    <a:lumMod val="65000"/>
                    <a:lumOff val="35000"/>
                  </a:schemeClr>
                </a:solidFill>
                <a:round/>
              </a:ln>
              <a:effectLst/>
            </c:spPr>
          </c:errBars>
          <c:cat>
            <c:strRef>
              <c:f>('Table 2'!$E$4,'Table 2'!$G$4,'Table 2'!$I$4,'Table 2'!$K$4,'Table 2'!$M$4,'Table 2'!$O$4)</c:f>
              <c:strCache>
                <c:ptCount val="6"/>
                <c:pt idx="0">
                  <c:v>Switzerland</c:v>
                </c:pt>
                <c:pt idx="1">
                  <c:v>Germany</c:v>
                </c:pt>
                <c:pt idx="2">
                  <c:v>USA</c:v>
                </c:pt>
                <c:pt idx="3">
                  <c:v>Sweden</c:v>
                </c:pt>
                <c:pt idx="4">
                  <c:v>France</c:v>
                </c:pt>
                <c:pt idx="5">
                  <c:v>UK</c:v>
                </c:pt>
              </c:strCache>
            </c:strRef>
          </c:cat>
          <c:val>
            <c:numRef>
              <c:f>('Table 2'!$F$41,'Table 2'!$H$41,'Table 2'!$J$41,'Table 2'!$L$41,'Table 2'!$N$41,'Table 2'!$P$41)</c:f>
              <c:numCache>
                <c:formatCode>General</c:formatCode>
                <c:ptCount val="6"/>
                <c:pt idx="0">
                  <c:v>1.2959770114942528</c:v>
                </c:pt>
                <c:pt idx="1">
                  <c:v>1.2260030934400874</c:v>
                </c:pt>
                <c:pt idx="2">
                  <c:v>0.96147609039723958</c:v>
                </c:pt>
                <c:pt idx="3">
                  <c:v>1.2023422251138582</c:v>
                </c:pt>
                <c:pt idx="4">
                  <c:v>1.8194329040299131</c:v>
                </c:pt>
                <c:pt idx="5">
                  <c:v>2.2490794273521928</c:v>
                </c:pt>
              </c:numCache>
            </c:numRef>
          </c:val>
          <c:extLst>
            <c:ext xmlns:c16="http://schemas.microsoft.com/office/drawing/2014/chart" uri="{C3380CC4-5D6E-409C-BE32-E72D297353CC}">
              <c16:uniqueId val="{00000006-618E-4A8A-AE06-09A22842F5FD}"/>
            </c:ext>
          </c:extLst>
        </c:ser>
        <c:ser>
          <c:idx val="3"/>
          <c:order val="2"/>
          <c:tx>
            <c:strRef>
              <c:f>'Table 2'!$B$24</c:f>
              <c:strCache>
                <c:ptCount val="1"/>
                <c:pt idx="0">
                  <c:v>Snus / nicotine pouches</c:v>
                </c:pt>
              </c:strCache>
            </c:strRef>
          </c:tx>
          <c:spPr>
            <a:solidFill>
              <a:schemeClr val="bg2">
                <a:lumMod val="90000"/>
              </a:schemeClr>
            </a:solidFill>
            <a:ln>
              <a:solidFill>
                <a:schemeClr val="bg2">
                  <a:lumMod val="90000"/>
                </a:schemeClr>
              </a:solidFill>
            </a:ln>
            <a:effectLst/>
          </c:spPr>
          <c:invertIfNegative val="0"/>
          <c:errBars>
            <c:errBarType val="both"/>
            <c:errValType val="cust"/>
            <c:noEndCap val="0"/>
            <c:plus>
              <c:numRef>
                <c:f>('Table 2'!$F$71,'Table 2'!$H$71,'Table 2'!$J$71,'Table 2'!$L$71,'Table 2'!$N$71,'Table 2'!$P$71)</c:f>
                <c:numCache>
                  <c:formatCode>General</c:formatCode>
                  <c:ptCount val="6"/>
                  <c:pt idx="0">
                    <c:v>4.7892720306513391E-2</c:v>
                  </c:pt>
                  <c:pt idx="1">
                    <c:v>0</c:v>
                  </c:pt>
                  <c:pt idx="2">
                    <c:v>5.8271278205893277E-2</c:v>
                  </c:pt>
                  <c:pt idx="3">
                    <c:v>6.9579989879274246E-2</c:v>
                  </c:pt>
                  <c:pt idx="4">
                    <c:v>0</c:v>
                  </c:pt>
                  <c:pt idx="5">
                    <c:v>0</c:v>
                  </c:pt>
                </c:numCache>
              </c:numRef>
            </c:plus>
            <c:minus>
              <c:numRef>
                <c:f>('Table 2'!$E$71,'Table 2'!$G$71,'Table 2'!$I$71,'Table 2'!$K$71,'Table 2'!$M$71,'Table 2'!$O$71)</c:f>
                <c:numCache>
                  <c:formatCode>General</c:formatCode>
                  <c:ptCount val="6"/>
                  <c:pt idx="0">
                    <c:v>4.7892720306513391E-2</c:v>
                  </c:pt>
                  <c:pt idx="1">
                    <c:v>0</c:v>
                  </c:pt>
                  <c:pt idx="2">
                    <c:v>5.8271278205893277E-2</c:v>
                  </c:pt>
                  <c:pt idx="3">
                    <c:v>6.9579989879274246E-2</c:v>
                  </c:pt>
                  <c:pt idx="4">
                    <c:v>0</c:v>
                  </c:pt>
                  <c:pt idx="5">
                    <c:v>0</c:v>
                  </c:pt>
                </c:numCache>
              </c:numRef>
            </c:minus>
            <c:spPr>
              <a:noFill/>
              <a:ln w="9525" cap="flat" cmpd="sng" algn="ctr">
                <a:solidFill>
                  <a:schemeClr val="tx1">
                    <a:lumMod val="65000"/>
                    <a:lumOff val="35000"/>
                  </a:schemeClr>
                </a:solidFill>
                <a:round/>
              </a:ln>
              <a:effectLst/>
            </c:spPr>
          </c:errBars>
          <c:cat>
            <c:strRef>
              <c:f>('Table 2'!$E$4,'Table 2'!$G$4,'Table 2'!$I$4,'Table 2'!$K$4,'Table 2'!$M$4,'Table 2'!$O$4)</c:f>
              <c:strCache>
                <c:ptCount val="6"/>
                <c:pt idx="0">
                  <c:v>Switzerland</c:v>
                </c:pt>
                <c:pt idx="1">
                  <c:v>Germany</c:v>
                </c:pt>
                <c:pt idx="2">
                  <c:v>USA</c:v>
                </c:pt>
                <c:pt idx="3">
                  <c:v>Sweden</c:v>
                </c:pt>
                <c:pt idx="4">
                  <c:v>France</c:v>
                </c:pt>
                <c:pt idx="5">
                  <c:v>UK</c:v>
                </c:pt>
              </c:strCache>
            </c:strRef>
          </c:cat>
          <c:val>
            <c:numRef>
              <c:f>('Table 2'!$F$29,'Table 2'!$H$29,'Table 2'!$J$29,'Table 2'!$L$29,'Table 2'!$N$29,'Table 2'!$P$29)</c:f>
              <c:numCache>
                <c:formatCode>General</c:formatCode>
                <c:ptCount val="6"/>
                <c:pt idx="0">
                  <c:v>0.17720306513409961</c:v>
                </c:pt>
                <c:pt idx="2">
                  <c:v>0.34962766923535976</c:v>
                </c:pt>
                <c:pt idx="3">
                  <c:v>0.41747993927564525</c:v>
                </c:pt>
              </c:numCache>
            </c:numRef>
          </c:val>
          <c:extLst>
            <c:ext xmlns:c16="http://schemas.microsoft.com/office/drawing/2014/chart" uri="{C3380CC4-5D6E-409C-BE32-E72D297353CC}">
              <c16:uniqueId val="{00000003-618E-4A8A-AE06-09A22842F5FD}"/>
            </c:ext>
          </c:extLst>
        </c:ser>
        <c:ser>
          <c:idx val="1"/>
          <c:order val="3"/>
          <c:tx>
            <c:strRef>
              <c:f>'Table 2'!$B$12</c:f>
              <c:strCache>
                <c:ptCount val="1"/>
                <c:pt idx="0">
                  <c:v>pNRT gums (price)</c:v>
                </c:pt>
              </c:strCache>
            </c:strRef>
          </c:tx>
          <c:spPr>
            <a:solidFill>
              <a:schemeClr val="accent6">
                <a:lumMod val="75000"/>
              </a:schemeClr>
            </a:solidFill>
            <a:ln>
              <a:solidFill>
                <a:schemeClr val="accent6">
                  <a:lumMod val="75000"/>
                </a:schemeClr>
              </a:solidFill>
            </a:ln>
            <a:effectLst/>
          </c:spPr>
          <c:invertIfNegative val="0"/>
          <c:errBars>
            <c:errBarType val="both"/>
            <c:errValType val="cust"/>
            <c:noEndCap val="0"/>
            <c:plus>
              <c:numRef>
                <c:f>('Table 2'!$F$72,'Table 2'!$H$72,'Table 2'!$J$72,'Table 2'!$L$72,'Table 2'!$N$72,'Table 2'!$P$72)</c:f>
                <c:numCache>
                  <c:formatCode>General</c:formatCode>
                  <c:ptCount val="6"/>
                  <c:pt idx="0">
                    <c:v>0.25641025641025655</c:v>
                  </c:pt>
                  <c:pt idx="1">
                    <c:v>2.2862528548999225E-2</c:v>
                  </c:pt>
                  <c:pt idx="2">
                    <c:v>0.25427466853480707</c:v>
                  </c:pt>
                  <c:pt idx="3">
                    <c:v>0.12845536593096782</c:v>
                  </c:pt>
                  <c:pt idx="4">
                    <c:v>0.11744591096481417</c:v>
                  </c:pt>
                  <c:pt idx="5">
                    <c:v>7.7828428024587448E-2</c:v>
                  </c:pt>
                </c:numCache>
              </c:numRef>
            </c:plus>
            <c:minus>
              <c:numRef>
                <c:f>('Table 2'!$E$72,'Table 2'!$G$72,'Table 2'!$I$72,'Table 2'!$K$72,'Table 2'!$M$72,'Table 2'!$O$72)</c:f>
                <c:numCache>
                  <c:formatCode>General</c:formatCode>
                  <c:ptCount val="6"/>
                  <c:pt idx="0">
                    <c:v>0.25641025641025655</c:v>
                  </c:pt>
                  <c:pt idx="1">
                    <c:v>2.2862528548999225E-2</c:v>
                  </c:pt>
                  <c:pt idx="2">
                    <c:v>0.25427466853480707</c:v>
                  </c:pt>
                  <c:pt idx="3">
                    <c:v>0.12845536593096782</c:v>
                  </c:pt>
                  <c:pt idx="4">
                    <c:v>0.11744591096481417</c:v>
                  </c:pt>
                  <c:pt idx="5">
                    <c:v>7.7828428024587448E-2</c:v>
                  </c:pt>
                </c:numCache>
              </c:numRef>
            </c:minus>
            <c:spPr>
              <a:noFill/>
              <a:ln w="9525" cap="flat" cmpd="sng" algn="ctr">
                <a:solidFill>
                  <a:schemeClr val="tx1">
                    <a:lumMod val="65000"/>
                    <a:lumOff val="35000"/>
                  </a:schemeClr>
                </a:solidFill>
                <a:round/>
              </a:ln>
              <a:effectLst/>
            </c:spPr>
          </c:errBars>
          <c:cat>
            <c:strRef>
              <c:f>('Table 2'!$E$4,'Table 2'!$G$4,'Table 2'!$I$4,'Table 2'!$K$4,'Table 2'!$M$4,'Table 2'!$O$4)</c:f>
              <c:strCache>
                <c:ptCount val="6"/>
                <c:pt idx="0">
                  <c:v>Switzerland</c:v>
                </c:pt>
                <c:pt idx="1">
                  <c:v>Germany</c:v>
                </c:pt>
                <c:pt idx="2">
                  <c:v>USA</c:v>
                </c:pt>
                <c:pt idx="3">
                  <c:v>Sweden</c:v>
                </c:pt>
                <c:pt idx="4">
                  <c:v>France</c:v>
                </c:pt>
                <c:pt idx="5">
                  <c:v>UK</c:v>
                </c:pt>
              </c:strCache>
            </c:strRef>
          </c:cat>
          <c:val>
            <c:numRef>
              <c:f>('Table 2'!$F$17,'Table 2'!$H$17,'Table 2'!$J$17,'Table 2'!$L$17,'Table 2'!$N$17,'Table 2'!$P$17)</c:f>
              <c:numCache>
                <c:formatCode>General</c:formatCode>
                <c:ptCount val="6"/>
                <c:pt idx="0">
                  <c:v>1.140583554376658</c:v>
                </c:pt>
                <c:pt idx="1">
                  <c:v>0.98308872760696997</c:v>
                </c:pt>
                <c:pt idx="2">
                  <c:v>0.62590687639337128</c:v>
                </c:pt>
                <c:pt idx="3">
                  <c:v>0.59556578749812328</c:v>
                </c:pt>
                <c:pt idx="4">
                  <c:v>0.40453591554547103</c:v>
                </c:pt>
                <c:pt idx="5">
                  <c:v>0.41508494946446639</c:v>
                </c:pt>
              </c:numCache>
            </c:numRef>
          </c:val>
          <c:extLst>
            <c:ext xmlns:c16="http://schemas.microsoft.com/office/drawing/2014/chart" uri="{C3380CC4-5D6E-409C-BE32-E72D297353CC}">
              <c16:uniqueId val="{00000001-618E-4A8A-AE06-09A22842F5FD}"/>
            </c:ext>
          </c:extLst>
        </c:ser>
        <c:ser>
          <c:idx val="2"/>
          <c:order val="4"/>
          <c:tx>
            <c:strRef>
              <c:f>'Table 2'!$B$18</c:f>
              <c:strCache>
                <c:ptCount val="1"/>
                <c:pt idx="0">
                  <c:v>pNRT gums (paid)</c:v>
                </c:pt>
              </c:strCache>
            </c:strRef>
          </c:tx>
          <c:spPr>
            <a:solidFill>
              <a:schemeClr val="accent6">
                <a:lumMod val="60000"/>
                <a:lumOff val="40000"/>
              </a:schemeClr>
            </a:solidFill>
            <a:ln>
              <a:solidFill>
                <a:schemeClr val="accent6">
                  <a:lumMod val="60000"/>
                  <a:lumOff val="40000"/>
                </a:schemeClr>
              </a:solidFill>
            </a:ln>
            <a:effectLst/>
          </c:spPr>
          <c:invertIfNegative val="0"/>
          <c:errBars>
            <c:errBarType val="both"/>
            <c:errValType val="cust"/>
            <c:noEndCap val="0"/>
            <c:plus>
              <c:numRef>
                <c:f>('Table 2'!$F$73,'Table 2'!$H$73,'Table 2'!$J$73,'Table 2'!$L$73,'Table 2'!$N$73,'Table 2'!$P$73)</c:f>
                <c:numCache>
                  <c:formatCode>General</c:formatCode>
                  <c:ptCount val="6"/>
                  <c:pt idx="0">
                    <c:v>0.25641025641025655</c:v>
                  </c:pt>
                  <c:pt idx="1">
                    <c:v>2.2862528548999225E-2</c:v>
                  </c:pt>
                  <c:pt idx="2">
                    <c:v>2.5427466853480709E-2</c:v>
                  </c:pt>
                  <c:pt idx="3">
                    <c:v>1.2845536593096785E-2</c:v>
                  </c:pt>
                  <c:pt idx="4">
                    <c:v>1.1744591096481419E-2</c:v>
                  </c:pt>
                  <c:pt idx="5">
                    <c:v>7.7828428024587452E-3</c:v>
                  </c:pt>
                </c:numCache>
              </c:numRef>
            </c:plus>
            <c:minus>
              <c:numRef>
                <c:f>('Table 2'!$E$73,'Table 2'!$G$73,'Table 2'!$I$73,'Table 2'!$K$73,'Table 2'!$M$73,'Table 2'!$O$73)</c:f>
                <c:numCache>
                  <c:formatCode>General</c:formatCode>
                  <c:ptCount val="6"/>
                  <c:pt idx="0">
                    <c:v>0.25641025641025655</c:v>
                  </c:pt>
                  <c:pt idx="1">
                    <c:v>2.2862528548999225E-2</c:v>
                  </c:pt>
                  <c:pt idx="2">
                    <c:v>2.5427466853480709E-2</c:v>
                  </c:pt>
                  <c:pt idx="3">
                    <c:v>1.2845536593096785E-2</c:v>
                  </c:pt>
                  <c:pt idx="4">
                    <c:v>1.1744591096481419E-2</c:v>
                  </c:pt>
                  <c:pt idx="5">
                    <c:v>7.7828428024587452E-3</c:v>
                  </c:pt>
                </c:numCache>
              </c:numRef>
            </c:minus>
            <c:spPr>
              <a:noFill/>
              <a:ln w="9525" cap="flat" cmpd="sng" algn="ctr">
                <a:solidFill>
                  <a:schemeClr val="tx1">
                    <a:lumMod val="65000"/>
                    <a:lumOff val="35000"/>
                  </a:schemeClr>
                </a:solidFill>
                <a:round/>
              </a:ln>
              <a:effectLst/>
            </c:spPr>
          </c:errBars>
          <c:cat>
            <c:strRef>
              <c:f>('Table 2'!$E$4,'Table 2'!$G$4,'Table 2'!$I$4,'Table 2'!$K$4,'Table 2'!$M$4,'Table 2'!$O$4)</c:f>
              <c:strCache>
                <c:ptCount val="6"/>
                <c:pt idx="0">
                  <c:v>Switzerland</c:v>
                </c:pt>
                <c:pt idx="1">
                  <c:v>Germany</c:v>
                </c:pt>
                <c:pt idx="2">
                  <c:v>USA</c:v>
                </c:pt>
                <c:pt idx="3">
                  <c:v>Sweden</c:v>
                </c:pt>
                <c:pt idx="4">
                  <c:v>France</c:v>
                </c:pt>
                <c:pt idx="5">
                  <c:v>UK</c:v>
                </c:pt>
              </c:strCache>
            </c:strRef>
          </c:cat>
          <c:val>
            <c:numRef>
              <c:f>('Table 2'!$F$23,'Table 2'!$H$23,'Table 2'!$J$23,'Table 2'!$L$23,'Table 2'!$N$23,'Table 2'!$P$23)</c:f>
              <c:numCache>
                <c:formatCode>General</c:formatCode>
                <c:ptCount val="6"/>
                <c:pt idx="0">
                  <c:v>1.140583554376658</c:v>
                </c:pt>
                <c:pt idx="1">
                  <c:v>0.98308872760696997</c:v>
                </c:pt>
                <c:pt idx="2">
                  <c:v>6.2590687639337131E-2</c:v>
                </c:pt>
                <c:pt idx="3">
                  <c:v>5.9556578749812329E-2</c:v>
                </c:pt>
                <c:pt idx="4">
                  <c:v>4.04535915545471E-2</c:v>
                </c:pt>
                <c:pt idx="5">
                  <c:v>4.1508494946446636E-2</c:v>
                </c:pt>
              </c:numCache>
            </c:numRef>
          </c:val>
          <c:extLst>
            <c:ext xmlns:c16="http://schemas.microsoft.com/office/drawing/2014/chart" uri="{C3380CC4-5D6E-409C-BE32-E72D297353CC}">
              <c16:uniqueId val="{00000002-618E-4A8A-AE06-09A22842F5FD}"/>
            </c:ext>
          </c:extLst>
        </c:ser>
        <c:ser>
          <c:idx val="4"/>
          <c:order val="5"/>
          <c:tx>
            <c:strRef>
              <c:f>'Table 2'!$B$30</c:f>
              <c:strCache>
                <c:ptCount val="1"/>
                <c:pt idx="0">
                  <c:v>ENDS open</c:v>
                </c:pt>
              </c:strCache>
            </c:strRef>
          </c:tx>
          <c:spPr>
            <a:solidFill>
              <a:schemeClr val="accent5"/>
            </a:solidFill>
            <a:ln>
              <a:noFill/>
            </a:ln>
            <a:effectLst/>
          </c:spPr>
          <c:invertIfNegative val="0"/>
          <c:errBars>
            <c:errBarType val="both"/>
            <c:errValType val="cust"/>
            <c:noEndCap val="0"/>
            <c:plus>
              <c:numRef>
                <c:f>('Table 2'!$F$74,'Table 2'!$H$74,'Table 2'!$J$74,'Table 2'!$L$74,'Table 2'!$N$74,'Table 2'!$P$74)</c:f>
                <c:numCache>
                  <c:formatCode>General</c:formatCode>
                  <c:ptCount val="6"/>
                  <c:pt idx="0">
                    <c:v>4.1034482758620719E-2</c:v>
                  </c:pt>
                  <c:pt idx="1">
                    <c:v>3.7448821763260864E-2</c:v>
                  </c:pt>
                  <c:pt idx="2">
                    <c:v>4.2718144313847593E-2</c:v>
                  </c:pt>
                  <c:pt idx="3">
                    <c:v>0.19128171763175017</c:v>
                  </c:pt>
                  <c:pt idx="4">
                    <c:v>3.206273369339422E-2</c:v>
                  </c:pt>
                  <c:pt idx="5">
                    <c:v>0.20893041503200502</c:v>
                  </c:pt>
                </c:numCache>
              </c:numRef>
            </c:plus>
            <c:minus>
              <c:numRef>
                <c:f>('Table 2'!$E$74,'Table 2'!$G$74,'Table 2'!$I$74,'Table 2'!$K$74,'Table 2'!$M$74,'Table 2'!$O$74)</c:f>
                <c:numCache>
                  <c:formatCode>General</c:formatCode>
                  <c:ptCount val="6"/>
                  <c:pt idx="0">
                    <c:v>4.1034482758620719E-2</c:v>
                  </c:pt>
                  <c:pt idx="1">
                    <c:v>3.7448821763260864E-2</c:v>
                  </c:pt>
                  <c:pt idx="2">
                    <c:v>4.2718144313847593E-2</c:v>
                  </c:pt>
                  <c:pt idx="3">
                    <c:v>0.19128171763175017</c:v>
                  </c:pt>
                  <c:pt idx="4">
                    <c:v>3.206273369339422E-2</c:v>
                  </c:pt>
                  <c:pt idx="5">
                    <c:v>0.20893041503200502</c:v>
                  </c:pt>
                </c:numCache>
              </c:numRef>
            </c:minus>
            <c:spPr>
              <a:noFill/>
              <a:ln w="9525" cap="flat" cmpd="sng" algn="ctr">
                <a:solidFill>
                  <a:schemeClr val="tx1">
                    <a:lumMod val="65000"/>
                    <a:lumOff val="35000"/>
                  </a:schemeClr>
                </a:solidFill>
                <a:round/>
              </a:ln>
              <a:effectLst/>
            </c:spPr>
          </c:errBars>
          <c:cat>
            <c:strRef>
              <c:f>('Table 2'!$E$4,'Table 2'!$G$4,'Table 2'!$I$4,'Table 2'!$K$4,'Table 2'!$M$4,'Table 2'!$O$4)</c:f>
              <c:strCache>
                <c:ptCount val="6"/>
                <c:pt idx="0">
                  <c:v>Switzerland</c:v>
                </c:pt>
                <c:pt idx="1">
                  <c:v>Germany</c:v>
                </c:pt>
                <c:pt idx="2">
                  <c:v>USA</c:v>
                </c:pt>
                <c:pt idx="3">
                  <c:v>Sweden</c:v>
                </c:pt>
                <c:pt idx="4">
                  <c:v>France</c:v>
                </c:pt>
                <c:pt idx="5">
                  <c:v>UK</c:v>
                </c:pt>
              </c:strCache>
            </c:strRef>
          </c:cat>
          <c:val>
            <c:numRef>
              <c:f>('Table 2'!$F$35,'Table 2'!$H$35,'Table 2'!$J$35,'Table 2'!$L$35,'Table 2'!$N$35,'Table 2'!$P$35)</c:f>
              <c:numCache>
                <c:formatCode>General</c:formatCode>
                <c:ptCount val="6"/>
                <c:pt idx="0">
                  <c:v>0.32586206896551728</c:v>
                </c:pt>
                <c:pt idx="1">
                  <c:v>0.44938586115913026</c:v>
                </c:pt>
                <c:pt idx="2">
                  <c:v>0.21893048960846892</c:v>
                </c:pt>
                <c:pt idx="3">
                  <c:v>0.24866623292127524</c:v>
                </c:pt>
                <c:pt idx="4">
                  <c:v>0.43106564187785629</c:v>
                </c:pt>
                <c:pt idx="5">
                  <c:v>0.33641338013627925</c:v>
                </c:pt>
              </c:numCache>
            </c:numRef>
          </c:val>
          <c:extLst>
            <c:ext xmlns:c16="http://schemas.microsoft.com/office/drawing/2014/chart" uri="{C3380CC4-5D6E-409C-BE32-E72D297353CC}">
              <c16:uniqueId val="{00000005-618E-4A8A-AE06-09A22842F5FD}"/>
            </c:ext>
          </c:extLst>
        </c:ser>
        <c:ser>
          <c:idx val="6"/>
          <c:order val="6"/>
          <c:tx>
            <c:strRef>
              <c:f>'Table 2'!$B$42</c:f>
              <c:strCache>
                <c:ptCount val="1"/>
                <c:pt idx="0">
                  <c:v>ENDS closed</c:v>
                </c:pt>
              </c:strCache>
            </c:strRef>
          </c:tx>
          <c:spPr>
            <a:solidFill>
              <a:schemeClr val="accent1">
                <a:lumMod val="60000"/>
              </a:schemeClr>
            </a:solidFill>
            <a:ln>
              <a:noFill/>
            </a:ln>
            <a:effectLst/>
          </c:spPr>
          <c:invertIfNegative val="0"/>
          <c:errBars>
            <c:errBarType val="both"/>
            <c:errValType val="cust"/>
            <c:noEndCap val="0"/>
            <c:plus>
              <c:numRef>
                <c:f>('Table 2'!$F$75,'Table 2'!$H$75,'Table 2'!$J$75,'Table 2'!$L$75,'Table 2'!$N$75,'Table 2'!$P$75)</c:f>
                <c:numCache>
                  <c:formatCode>General</c:formatCode>
                  <c:ptCount val="6"/>
                  <c:pt idx="0">
                    <c:v>0</c:v>
                  </c:pt>
                  <c:pt idx="1">
                    <c:v>0</c:v>
                  </c:pt>
                  <c:pt idx="2">
                    <c:v>0.13915181235567328</c:v>
                  </c:pt>
                  <c:pt idx="3">
                    <c:v>0</c:v>
                  </c:pt>
                  <c:pt idx="4">
                    <c:v>0</c:v>
                  </c:pt>
                  <c:pt idx="5">
                    <c:v>0.28658372909353708</c:v>
                  </c:pt>
                </c:numCache>
              </c:numRef>
            </c:plus>
            <c:minus>
              <c:numRef>
                <c:f>('Table 2'!$E$75,'Table 2'!$G$75,'Table 2'!$I$75,'Table 2'!$K$75,'Table 2'!$M$75,'Table 2'!$O$75)</c:f>
                <c:numCache>
                  <c:formatCode>General</c:formatCode>
                  <c:ptCount val="6"/>
                  <c:pt idx="0">
                    <c:v>0</c:v>
                  </c:pt>
                  <c:pt idx="1">
                    <c:v>0</c:v>
                  </c:pt>
                  <c:pt idx="2">
                    <c:v>0.13915181235567328</c:v>
                  </c:pt>
                  <c:pt idx="3">
                    <c:v>0</c:v>
                  </c:pt>
                  <c:pt idx="4">
                    <c:v>0</c:v>
                  </c:pt>
                  <c:pt idx="5">
                    <c:v>0.28658372909353708</c:v>
                  </c:pt>
                </c:numCache>
              </c:numRef>
            </c:minus>
            <c:spPr>
              <a:noFill/>
              <a:ln w="9525" cap="flat" cmpd="sng" algn="ctr">
                <a:solidFill>
                  <a:schemeClr val="tx1">
                    <a:lumMod val="65000"/>
                    <a:lumOff val="35000"/>
                  </a:schemeClr>
                </a:solidFill>
                <a:round/>
              </a:ln>
              <a:effectLst/>
            </c:spPr>
          </c:errBars>
          <c:val>
            <c:numRef>
              <c:f>('Table 2'!$F$47,'Table 2'!$H$47,'Table 2'!$J$47,'Table 2'!$L$47,'Table 2'!$N$47,'Table 2'!$P$47)</c:f>
              <c:numCache>
                <c:formatCode>General</c:formatCode>
                <c:ptCount val="6"/>
                <c:pt idx="0">
                  <c:v>0.47413793103448282</c:v>
                </c:pt>
                <c:pt idx="1">
                  <c:v>0.42664907651715045</c:v>
                </c:pt>
                <c:pt idx="2">
                  <c:v>0.83840715082639283</c:v>
                </c:pt>
                <c:pt idx="3">
                  <c:v>0.41747993927564525</c:v>
                </c:pt>
                <c:pt idx="4">
                  <c:v>0.4833160227115359</c:v>
                </c:pt>
                <c:pt idx="5">
                  <c:v>0.66869536788492001</c:v>
                </c:pt>
              </c:numCache>
            </c:numRef>
          </c:val>
          <c:extLst>
            <c:ext xmlns:c16="http://schemas.microsoft.com/office/drawing/2014/chart" uri="{C3380CC4-5D6E-409C-BE32-E72D297353CC}">
              <c16:uniqueId val="{00000011-7B62-49C0-908B-0CBEDD5A9D4F}"/>
            </c:ext>
          </c:extLst>
        </c:ser>
        <c:dLbls>
          <c:showLegendKey val="0"/>
          <c:showVal val="0"/>
          <c:showCatName val="0"/>
          <c:showSerName val="0"/>
          <c:showPercent val="0"/>
          <c:showBubbleSize val="0"/>
        </c:dLbls>
        <c:gapWidth val="219"/>
        <c:overlap val="-27"/>
        <c:axId val="247543968"/>
        <c:axId val="247541888"/>
      </c:barChart>
      <c:catAx>
        <c:axId val="2475439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7541888"/>
        <c:crosses val="autoZero"/>
        <c:auto val="1"/>
        <c:lblAlgn val="ctr"/>
        <c:lblOffset val="100"/>
        <c:noMultiLvlLbl val="0"/>
      </c:catAx>
      <c:valAx>
        <c:axId val="24754188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7543968"/>
        <c:crosses val="autoZero"/>
        <c:crossBetween val="between"/>
      </c:valAx>
      <c:spPr>
        <a:noFill/>
        <a:ln>
          <a:noFill/>
        </a:ln>
        <a:effectLst/>
      </c:spPr>
    </c:plotArea>
    <c:legend>
      <c:legendPos val="t"/>
      <c:layout>
        <c:manualLayout>
          <c:xMode val="edge"/>
          <c:yMode val="edge"/>
          <c:x val="0.16946985804747133"/>
          <c:y val="0.22668443367655966"/>
          <c:w val="0.72192588606441022"/>
          <c:h val="6.9231253785584507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xdr:col>
      <xdr:colOff>2333624</xdr:colOff>
      <xdr:row>47</xdr:row>
      <xdr:rowOff>104774</xdr:rowOff>
    </xdr:from>
    <xdr:to>
      <xdr:col>14</xdr:col>
      <xdr:colOff>209550</xdr:colOff>
      <xdr:row>63</xdr:row>
      <xdr:rowOff>152399</xdr:rowOff>
    </xdr:to>
    <xdr:graphicFrame macro="">
      <xdr:nvGraphicFramePr>
        <xdr:cNvPr id="5" name="Chart 4">
          <a:extLst>
            <a:ext uri="{FF2B5EF4-FFF2-40B4-BE49-F238E27FC236}">
              <a16:creationId xmlns:a16="http://schemas.microsoft.com/office/drawing/2014/main" id="{2583F4A4-D1CD-4BEA-9D75-156E1792FB2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who.int/docs/default-source/tobacco-hq/global-tobacco-report-2019/table-9-1-taxes-and-retail-price-for-a-pack-of-20-cigarette-most-so.xls?sfvrsn=afb960ef_4" TargetMode="External"/><Relationship Id="rId2" Type="http://schemas.openxmlformats.org/officeDocument/2006/relationships/hyperlink" Target="https://www.snusexpress.com/ch" TargetMode="External"/><Relationship Id="rId1" Type="http://schemas.openxmlformats.org/officeDocument/2006/relationships/hyperlink" Target="https://www.snusexpress.com/eu/en/" TargetMode="External"/><Relationship Id="rId5" Type="http://schemas.openxmlformats.org/officeDocument/2006/relationships/drawing" Target="../drawings/drawing1.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B769AC-36BA-4E73-A0A0-826A14070340}">
  <dimension ref="A1:G15"/>
  <sheetViews>
    <sheetView tabSelected="1" workbookViewId="0">
      <selection activeCell="A15" sqref="A15"/>
    </sheetView>
  </sheetViews>
  <sheetFormatPr defaultRowHeight="14.4" x14ac:dyDescent="0.3"/>
  <cols>
    <col min="1" max="1" width="39" customWidth="1"/>
    <col min="2" max="2" width="22.77734375" customWidth="1"/>
    <col min="3" max="3" width="17.33203125" customWidth="1"/>
    <col min="4" max="4" width="16.33203125" customWidth="1"/>
    <col min="5" max="5" width="16" customWidth="1"/>
    <col min="6" max="6" width="15.88671875" customWidth="1"/>
    <col min="7" max="7" width="18.44140625" customWidth="1"/>
  </cols>
  <sheetData>
    <row r="1" spans="1:7" ht="15.6" x14ac:dyDescent="0.3">
      <c r="A1" s="13" t="s">
        <v>78</v>
      </c>
    </row>
    <row r="2" spans="1:7" ht="15" thickBot="1" x14ac:dyDescent="0.35"/>
    <row r="3" spans="1:7" ht="15" thickBot="1" x14ac:dyDescent="0.35">
      <c r="A3" s="16" t="s">
        <v>79</v>
      </c>
      <c r="B3" s="19" t="s">
        <v>80</v>
      </c>
      <c r="C3" s="18"/>
      <c r="D3" s="18"/>
      <c r="E3" s="18"/>
      <c r="F3" s="18"/>
      <c r="G3" s="20"/>
    </row>
    <row r="4" spans="1:7" ht="15" thickBot="1" x14ac:dyDescent="0.35">
      <c r="A4" s="17"/>
      <c r="B4" s="14" t="s">
        <v>2</v>
      </c>
      <c r="C4" s="14" t="s">
        <v>3</v>
      </c>
      <c r="D4" s="14" t="s">
        <v>11</v>
      </c>
      <c r="E4" s="14" t="s">
        <v>6</v>
      </c>
      <c r="F4" s="14" t="s">
        <v>4</v>
      </c>
      <c r="G4" s="14" t="s">
        <v>5</v>
      </c>
    </row>
    <row r="5" spans="1:7" ht="15" thickBot="1" x14ac:dyDescent="0.35">
      <c r="A5" s="15" t="s">
        <v>81</v>
      </c>
      <c r="B5" s="14" t="s">
        <v>82</v>
      </c>
      <c r="C5" s="14" t="s">
        <v>83</v>
      </c>
      <c r="D5" s="14" t="s">
        <v>84</v>
      </c>
      <c r="E5" s="14" t="s">
        <v>85</v>
      </c>
      <c r="F5" s="14" t="s">
        <v>86</v>
      </c>
      <c r="G5" s="14" t="s">
        <v>87</v>
      </c>
    </row>
    <row r="6" spans="1:7" ht="15" thickBot="1" x14ac:dyDescent="0.35">
      <c r="A6" s="15" t="s">
        <v>88</v>
      </c>
      <c r="B6" s="14" t="s">
        <v>89</v>
      </c>
      <c r="C6" s="14" t="s">
        <v>90</v>
      </c>
      <c r="D6" s="14" t="s">
        <v>91</v>
      </c>
      <c r="E6" s="14" t="s">
        <v>92</v>
      </c>
      <c r="F6" s="14" t="s">
        <v>93</v>
      </c>
      <c r="G6" s="14" t="s">
        <v>94</v>
      </c>
    </row>
    <row r="7" spans="1:7" ht="15" thickBot="1" x14ac:dyDescent="0.35">
      <c r="A7" s="15" t="s">
        <v>95</v>
      </c>
      <c r="B7" s="14" t="s">
        <v>96</v>
      </c>
      <c r="C7" s="14" t="s">
        <v>12</v>
      </c>
      <c r="D7" s="14" t="s">
        <v>97</v>
      </c>
      <c r="E7" s="14" t="s">
        <v>97</v>
      </c>
      <c r="F7" s="14" t="s">
        <v>12</v>
      </c>
      <c r="G7" s="14" t="s">
        <v>12</v>
      </c>
    </row>
    <row r="8" spans="1:7" ht="28.2" thickBot="1" x14ac:dyDescent="0.35">
      <c r="A8" s="15" t="s">
        <v>98</v>
      </c>
      <c r="B8" s="14" t="s">
        <v>99</v>
      </c>
      <c r="C8" s="14" t="s">
        <v>100</v>
      </c>
      <c r="D8" s="14" t="s">
        <v>101</v>
      </c>
      <c r="E8" s="14" t="s">
        <v>102</v>
      </c>
      <c r="F8" s="14" t="s">
        <v>103</v>
      </c>
      <c r="G8" s="14" t="s">
        <v>104</v>
      </c>
    </row>
    <row r="9" spans="1:7" ht="15" thickBot="1" x14ac:dyDescent="0.35">
      <c r="A9" s="15" t="s">
        <v>105</v>
      </c>
      <c r="B9" s="14" t="s">
        <v>106</v>
      </c>
      <c r="C9" s="14" t="s">
        <v>107</v>
      </c>
      <c r="D9" s="14" t="s">
        <v>108</v>
      </c>
      <c r="E9" s="14" t="s">
        <v>109</v>
      </c>
      <c r="F9" s="14" t="s">
        <v>110</v>
      </c>
      <c r="G9" s="14" t="s">
        <v>111</v>
      </c>
    </row>
    <row r="10" spans="1:7" ht="15" thickBot="1" x14ac:dyDescent="0.35">
      <c r="A10" s="15" t="s">
        <v>112</v>
      </c>
      <c r="B10" s="14" t="s">
        <v>113</v>
      </c>
      <c r="C10" s="14" t="s">
        <v>114</v>
      </c>
      <c r="D10" s="14" t="s">
        <v>115</v>
      </c>
      <c r="E10" s="14" t="s">
        <v>116</v>
      </c>
      <c r="F10" s="14" t="s">
        <v>117</v>
      </c>
      <c r="G10" s="14" t="s">
        <v>118</v>
      </c>
    </row>
    <row r="12" spans="1:7" x14ac:dyDescent="0.3">
      <c r="A12" s="12" t="s">
        <v>119</v>
      </c>
    </row>
    <row r="13" spans="1:7" x14ac:dyDescent="0.3">
      <c r="A13" s="12" t="s">
        <v>120</v>
      </c>
    </row>
    <row r="15" spans="1:7" x14ac:dyDescent="0.3">
      <c r="A15" t="s">
        <v>121</v>
      </c>
    </row>
  </sheetData>
  <mergeCells count="2">
    <mergeCell ref="A3:A4"/>
    <mergeCell ref="B3:G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U78"/>
  <sheetViews>
    <sheetView topLeftCell="D1" zoomScaleNormal="100" workbookViewId="0">
      <selection activeCell="D85" sqref="D85"/>
    </sheetView>
  </sheetViews>
  <sheetFormatPr defaultRowHeight="14.4" x14ac:dyDescent="0.3"/>
  <cols>
    <col min="2" max="2" width="25.33203125" customWidth="1"/>
    <col min="3" max="3" width="33.6640625" customWidth="1"/>
    <col min="4" max="4" width="54.44140625" customWidth="1"/>
    <col min="6" max="6" width="10.109375" bestFit="1" customWidth="1"/>
  </cols>
  <sheetData>
    <row r="2" spans="1:21" x14ac:dyDescent="0.3">
      <c r="A2" s="4"/>
      <c r="B2" s="4">
        <v>2019</v>
      </c>
      <c r="C2" s="4" t="s">
        <v>10</v>
      </c>
      <c r="D2" t="s">
        <v>75</v>
      </c>
      <c r="E2" s="4">
        <f>E3/49000</f>
        <v>1</v>
      </c>
      <c r="F2" s="4"/>
      <c r="G2" s="4">
        <f>G3/49000</f>
        <v>0.77346938775510199</v>
      </c>
      <c r="H2" s="4"/>
      <c r="I2" s="4">
        <f>I3/49000</f>
        <v>0.90408163265306118</v>
      </c>
      <c r="J2" s="4"/>
      <c r="K2" s="4">
        <f>K3/49000</f>
        <v>0.75714285714285712</v>
      </c>
      <c r="L2" s="4"/>
      <c r="M2" s="4">
        <f>M3/49000</f>
        <v>0.67755102040816328</v>
      </c>
      <c r="N2" s="4"/>
      <c r="O2" s="4">
        <f>O3/49000</f>
        <v>0.68163265306122445</v>
      </c>
      <c r="P2" s="4"/>
      <c r="Q2" s="4"/>
    </row>
    <row r="3" spans="1:21" x14ac:dyDescent="0.3">
      <c r="A3" s="4"/>
      <c r="B3" s="4"/>
      <c r="C3" s="4"/>
      <c r="D3" s="4" t="s">
        <v>74</v>
      </c>
      <c r="E3" s="4">
        <v>49000</v>
      </c>
      <c r="F3" s="4"/>
      <c r="G3" s="4">
        <v>37900</v>
      </c>
      <c r="H3" s="4"/>
      <c r="I3" s="4">
        <v>44300</v>
      </c>
      <c r="J3" s="4"/>
      <c r="K3" s="4">
        <v>37100</v>
      </c>
      <c r="L3" s="4"/>
      <c r="M3" s="4">
        <v>33200</v>
      </c>
      <c r="N3" s="4"/>
      <c r="O3" s="4">
        <v>33400</v>
      </c>
      <c r="P3" s="4"/>
      <c r="Q3" s="4" t="s">
        <v>76</v>
      </c>
    </row>
    <row r="4" spans="1:21" x14ac:dyDescent="0.3">
      <c r="A4" s="4"/>
      <c r="B4" s="4"/>
      <c r="C4" s="4"/>
      <c r="D4" s="5" t="s">
        <v>1</v>
      </c>
      <c r="E4" s="6" t="s">
        <v>2</v>
      </c>
      <c r="F4" s="6"/>
      <c r="G4" s="6" t="s">
        <v>3</v>
      </c>
      <c r="H4" s="6"/>
      <c r="I4" s="6" t="s">
        <v>11</v>
      </c>
      <c r="J4" s="6"/>
      <c r="K4" s="6" t="s">
        <v>6</v>
      </c>
      <c r="L4" s="6"/>
      <c r="M4" s="6" t="s">
        <v>4</v>
      </c>
      <c r="N4" s="6"/>
      <c r="O4" s="6" t="s">
        <v>5</v>
      </c>
      <c r="P4" s="4"/>
      <c r="Q4" s="4" t="s">
        <v>47</v>
      </c>
    </row>
    <row r="5" spans="1:21" x14ac:dyDescent="0.3">
      <c r="A5" s="4"/>
      <c r="B5" s="4"/>
      <c r="C5" s="5" t="s">
        <v>0</v>
      </c>
      <c r="D5" s="4"/>
      <c r="E5" s="4" t="s">
        <v>32</v>
      </c>
      <c r="F5" s="4" t="s">
        <v>33</v>
      </c>
      <c r="G5" s="4" t="s">
        <v>32</v>
      </c>
      <c r="H5" s="4" t="s">
        <v>33</v>
      </c>
      <c r="I5" s="4" t="s">
        <v>32</v>
      </c>
      <c r="J5" s="4" t="s">
        <v>33</v>
      </c>
      <c r="K5" s="4" t="s">
        <v>32</v>
      </c>
      <c r="L5" s="4" t="s">
        <v>33</v>
      </c>
      <c r="M5" s="4" t="s">
        <v>32</v>
      </c>
      <c r="N5" s="4" t="s">
        <v>33</v>
      </c>
      <c r="O5" s="4" t="s">
        <v>32</v>
      </c>
      <c r="P5" s="4" t="s">
        <v>33</v>
      </c>
      <c r="Q5" s="6" t="s">
        <v>19</v>
      </c>
      <c r="U5" s="1" t="s">
        <v>18</v>
      </c>
    </row>
    <row r="6" spans="1:21" x14ac:dyDescent="0.3">
      <c r="A6" s="4">
        <v>1</v>
      </c>
      <c r="B6" s="4" t="s">
        <v>41</v>
      </c>
      <c r="C6" s="6" t="s">
        <v>30</v>
      </c>
      <c r="D6" s="4"/>
      <c r="E6" s="4">
        <v>0.42</v>
      </c>
      <c r="F6" s="4">
        <v>0.45</v>
      </c>
      <c r="G6" s="4">
        <v>0.26</v>
      </c>
      <c r="H6" s="4">
        <v>0.36</v>
      </c>
      <c r="I6" s="4">
        <v>0.53</v>
      </c>
      <c r="J6" s="4">
        <v>0.59</v>
      </c>
      <c r="K6" s="4">
        <v>0.28000000000000003</v>
      </c>
      <c r="L6" s="4">
        <v>0.37</v>
      </c>
      <c r="M6" s="4">
        <v>0.43</v>
      </c>
      <c r="N6" s="4">
        <v>0.47</v>
      </c>
      <c r="O6" s="4">
        <v>0.48</v>
      </c>
      <c r="P6" s="4">
        <v>0.75</v>
      </c>
      <c r="Q6" s="4"/>
      <c r="U6" t="s">
        <v>29</v>
      </c>
    </row>
    <row r="7" spans="1:21" x14ac:dyDescent="0.3">
      <c r="A7" s="4"/>
      <c r="B7" s="4"/>
      <c r="C7" s="6" t="s">
        <v>15</v>
      </c>
      <c r="D7" s="4"/>
      <c r="E7" s="4">
        <f>E6*20</f>
        <v>8.4</v>
      </c>
      <c r="F7" s="4">
        <f t="shared" ref="F7:P7" si="0">F6*20</f>
        <v>9</v>
      </c>
      <c r="G7" s="4">
        <f>G6*20</f>
        <v>5.2</v>
      </c>
      <c r="H7" s="4">
        <f>H6*20</f>
        <v>7.1999999999999993</v>
      </c>
      <c r="I7" s="4">
        <f>I6*20</f>
        <v>10.600000000000001</v>
      </c>
      <c r="J7" s="4">
        <f t="shared" si="0"/>
        <v>11.799999999999999</v>
      </c>
      <c r="K7" s="4">
        <f>K6*20</f>
        <v>5.6000000000000005</v>
      </c>
      <c r="L7" s="4">
        <f>L6*20</f>
        <v>7.4</v>
      </c>
      <c r="M7" s="4">
        <f t="shared" si="0"/>
        <v>8.6</v>
      </c>
      <c r="N7" s="4">
        <f t="shared" si="0"/>
        <v>9.3999999999999986</v>
      </c>
      <c r="O7" s="4">
        <f t="shared" si="0"/>
        <v>9.6</v>
      </c>
      <c r="P7" s="4">
        <f t="shared" si="0"/>
        <v>15</v>
      </c>
      <c r="Q7" s="4"/>
    </row>
    <row r="8" spans="1:21" x14ac:dyDescent="0.3">
      <c r="A8" s="4"/>
      <c r="B8" s="4"/>
      <c r="C8" s="6"/>
      <c r="D8" s="4" t="s">
        <v>77</v>
      </c>
      <c r="E8" s="4">
        <f>E7/E2</f>
        <v>8.4</v>
      </c>
      <c r="F8" s="4">
        <f>F7/E2</f>
        <v>9</v>
      </c>
      <c r="G8" s="4">
        <f>G7/G2</f>
        <v>6.7229551451187346</v>
      </c>
      <c r="H8" s="4">
        <f>H7/G2</f>
        <v>9.308707124010553</v>
      </c>
      <c r="I8" s="4">
        <f>I7/I2</f>
        <v>11.724604966139957</v>
      </c>
      <c r="J8" s="4">
        <f>J7/I2</f>
        <v>13.051918735891647</v>
      </c>
      <c r="K8" s="4">
        <f>K7/K2</f>
        <v>7.3962264150943406</v>
      </c>
      <c r="L8" s="4">
        <f>L7/K2</f>
        <v>9.7735849056603783</v>
      </c>
      <c r="M8" s="4">
        <f>M7/M2</f>
        <v>12.692771084337348</v>
      </c>
      <c r="N8" s="4">
        <f>N7/M2</f>
        <v>13.873493975903612</v>
      </c>
      <c r="O8" s="4">
        <f>O7/O2</f>
        <v>14.083832335329342</v>
      </c>
      <c r="P8" s="4">
        <f>P7/O2</f>
        <v>22.005988023952096</v>
      </c>
      <c r="Q8" s="4"/>
    </row>
    <row r="9" spans="1:21" x14ac:dyDescent="0.3">
      <c r="A9" s="4"/>
      <c r="B9" s="4"/>
      <c r="C9" s="4"/>
      <c r="D9" s="4" t="s">
        <v>14</v>
      </c>
      <c r="E9" s="4">
        <f t="shared" ref="E9:P9" si="1">E8</f>
        <v>8.4</v>
      </c>
      <c r="F9" s="4">
        <f t="shared" si="1"/>
        <v>9</v>
      </c>
      <c r="G9" s="4">
        <f t="shared" si="1"/>
        <v>6.7229551451187346</v>
      </c>
      <c r="H9" s="4">
        <f t="shared" si="1"/>
        <v>9.308707124010553</v>
      </c>
      <c r="I9" s="4">
        <f t="shared" si="1"/>
        <v>11.724604966139957</v>
      </c>
      <c r="J9" s="4">
        <f t="shared" si="1"/>
        <v>13.051918735891647</v>
      </c>
      <c r="K9" s="4">
        <f t="shared" si="1"/>
        <v>7.3962264150943406</v>
      </c>
      <c r="L9" s="4">
        <f>L8</f>
        <v>9.7735849056603783</v>
      </c>
      <c r="M9" s="4">
        <f t="shared" si="1"/>
        <v>12.692771084337348</v>
      </c>
      <c r="N9" s="4">
        <f t="shared" si="1"/>
        <v>13.873493975903612</v>
      </c>
      <c r="O9" s="4">
        <f t="shared" si="1"/>
        <v>14.083832335329342</v>
      </c>
      <c r="P9" s="4">
        <f t="shared" si="1"/>
        <v>22.005988023952096</v>
      </c>
      <c r="Q9" s="4"/>
    </row>
    <row r="10" spans="1:21" x14ac:dyDescent="0.3">
      <c r="A10" s="4"/>
      <c r="B10" s="4"/>
      <c r="C10" s="4"/>
      <c r="D10" s="4" t="s">
        <v>55</v>
      </c>
      <c r="E10" s="4">
        <f>8.7/E2</f>
        <v>8.6999999999999993</v>
      </c>
      <c r="F10" s="4">
        <v>1</v>
      </c>
      <c r="G10" s="4">
        <f>7.5/G2</f>
        <v>9.6965699208443272</v>
      </c>
      <c r="H10" s="4">
        <f>G10/$E11</f>
        <v>1.1145482667637159</v>
      </c>
      <c r="I10" s="4">
        <f>6.9/I2</f>
        <v>7.6320541760722351</v>
      </c>
      <c r="J10" s="4">
        <f>I10/$E11</f>
        <v>0.87724760644508459</v>
      </c>
      <c r="K10" s="4">
        <f>7.4/K2</f>
        <v>9.7735849056603783</v>
      </c>
      <c r="L10" s="4">
        <f>K10/$E11</f>
        <v>1.123400563869009</v>
      </c>
      <c r="M10" s="4">
        <f>9.4/M2</f>
        <v>13.873493975903614</v>
      </c>
      <c r="N10" s="4">
        <f>M10/$E11</f>
        <v>1.5946544799889213</v>
      </c>
      <c r="O10" s="4">
        <f>12.4/O2</f>
        <v>18.191616766467067</v>
      </c>
      <c r="P10" s="4">
        <f>O10/$E11</f>
        <v>2.0909904329272493</v>
      </c>
      <c r="Q10" s="7" t="s">
        <v>56</v>
      </c>
    </row>
    <row r="11" spans="1:21" ht="15" thickBot="1" x14ac:dyDescent="0.35">
      <c r="A11" s="8"/>
      <c r="B11" s="8"/>
      <c r="C11" s="6" t="s">
        <v>48</v>
      </c>
      <c r="D11" s="8" t="s">
        <v>34</v>
      </c>
      <c r="E11" s="9">
        <f>(E9+F9)/2</f>
        <v>8.6999999999999993</v>
      </c>
      <c r="F11" s="9">
        <v>1</v>
      </c>
      <c r="G11" s="9">
        <f>(G9+H9)/2</f>
        <v>8.0158311345646442</v>
      </c>
      <c r="H11" s="9">
        <f>G11/$E11</f>
        <v>0.92135990052467187</v>
      </c>
      <c r="I11" s="9">
        <f>(I9+J9)/2</f>
        <v>12.388261851015802</v>
      </c>
      <c r="J11" s="9">
        <f>I11/$E11</f>
        <v>1.4239381437949199</v>
      </c>
      <c r="K11" s="9">
        <f>(K9+L9)/2</f>
        <v>8.584905660377359</v>
      </c>
      <c r="L11" s="9">
        <f>K11/$E11</f>
        <v>0.98677076556061605</v>
      </c>
      <c r="M11" s="9">
        <f>(M9+N9)/2</f>
        <v>13.283132530120479</v>
      </c>
      <c r="N11" s="9">
        <f>M11/$E11</f>
        <v>1.526796842542584</v>
      </c>
      <c r="O11" s="9">
        <f>(O9+P9)/2</f>
        <v>18.04491017964072</v>
      </c>
      <c r="P11" s="9">
        <f>O11/$E11</f>
        <v>2.0741276068552552</v>
      </c>
      <c r="Q11" s="4"/>
    </row>
    <row r="12" spans="1:21" ht="15" x14ac:dyDescent="0.35">
      <c r="A12" s="4">
        <v>2</v>
      </c>
      <c r="B12" s="4" t="s">
        <v>63</v>
      </c>
      <c r="C12" s="6" t="s">
        <v>31</v>
      </c>
      <c r="D12" s="4">
        <v>0.65</v>
      </c>
      <c r="E12" s="4">
        <v>0.5</v>
      </c>
      <c r="F12" s="4">
        <v>0.79</v>
      </c>
      <c r="G12" s="4">
        <v>0.42</v>
      </c>
      <c r="H12" s="4">
        <v>0.44</v>
      </c>
      <c r="I12" s="4">
        <v>0.19</v>
      </c>
      <c r="J12" s="4">
        <v>0.45</v>
      </c>
      <c r="K12" s="4">
        <v>0.2</v>
      </c>
      <c r="L12" s="4">
        <v>0.31</v>
      </c>
      <c r="M12" s="4">
        <v>0.11</v>
      </c>
      <c r="N12" s="4">
        <v>0.2</v>
      </c>
      <c r="O12" s="4">
        <v>0.13</v>
      </c>
      <c r="P12" s="4">
        <v>0.19</v>
      </c>
      <c r="Q12" s="10" t="s">
        <v>20</v>
      </c>
      <c r="U12" s="2" t="s">
        <v>40</v>
      </c>
    </row>
    <row r="13" spans="1:21" x14ac:dyDescent="0.3">
      <c r="A13" s="4"/>
      <c r="B13" s="4"/>
      <c r="C13" s="6" t="s">
        <v>7</v>
      </c>
      <c r="D13" s="4" t="s">
        <v>16</v>
      </c>
      <c r="E13" s="4">
        <f>E12*10/D12</f>
        <v>7.6923076923076916</v>
      </c>
      <c r="F13" s="4">
        <f>F12*10/D12</f>
        <v>12.153846153846153</v>
      </c>
      <c r="G13" s="4">
        <f>G12*10/D12</f>
        <v>6.4615384615384617</v>
      </c>
      <c r="H13" s="4">
        <f>H12*10/D12</f>
        <v>6.7692307692307692</v>
      </c>
      <c r="I13" s="4">
        <f>I12*10/D12</f>
        <v>2.9230769230769229</v>
      </c>
      <c r="J13" s="4">
        <f>J12*10/D12</f>
        <v>6.9230769230769225</v>
      </c>
      <c r="K13" s="4">
        <f>K12*10/D12</f>
        <v>3.0769230769230766</v>
      </c>
      <c r="L13" s="4">
        <f>L12*10/D12</f>
        <v>4.7692307692307692</v>
      </c>
      <c r="M13" s="4">
        <f>M12*10/D12</f>
        <v>1.6923076923076923</v>
      </c>
      <c r="N13" s="4">
        <f>N12*10/D12</f>
        <v>3.0769230769230766</v>
      </c>
      <c r="O13" s="4">
        <f>O12*10/D12</f>
        <v>2</v>
      </c>
      <c r="P13" s="4">
        <f>P12*10/D12</f>
        <v>2.9230769230769229</v>
      </c>
      <c r="Q13" s="4" t="s">
        <v>21</v>
      </c>
    </row>
    <row r="14" spans="1:21" x14ac:dyDescent="0.3">
      <c r="A14" s="4"/>
      <c r="B14" s="4"/>
      <c r="C14" s="4"/>
      <c r="D14" s="4" t="s">
        <v>77</v>
      </c>
      <c r="E14" s="4">
        <f>E13/E2</f>
        <v>7.6923076923076916</v>
      </c>
      <c r="F14" s="4">
        <f>F13/E2</f>
        <v>12.153846153846153</v>
      </c>
      <c r="G14" s="4">
        <f>G13/G2</f>
        <v>8.3539679318043447</v>
      </c>
      <c r="H14" s="4">
        <f>H13/G2</f>
        <v>8.7517759285569312</v>
      </c>
      <c r="I14" s="4">
        <f>I13/I2</f>
        <v>3.2332002083695084</v>
      </c>
      <c r="J14" s="4">
        <f>J13/I2</f>
        <v>7.6575794408751516</v>
      </c>
      <c r="K14" s="4">
        <f>K13/K2</f>
        <v>4.0638606676342519</v>
      </c>
      <c r="L14" s="4">
        <f>L13/K2</f>
        <v>6.2989840348330919</v>
      </c>
      <c r="M14" s="4">
        <f>M13/M2</f>
        <v>2.4976830398517142</v>
      </c>
      <c r="N14" s="4">
        <f>N13/M2</f>
        <v>4.5412418906394807</v>
      </c>
      <c r="O14" s="4">
        <f>O13/O2</f>
        <v>2.9341317365269464</v>
      </c>
      <c r="P14" s="4">
        <f>P13/O2</f>
        <v>4.2883463841547673</v>
      </c>
      <c r="Q14" s="4"/>
    </row>
    <row r="15" spans="1:21" x14ac:dyDescent="0.3">
      <c r="A15" s="4"/>
      <c r="B15" s="4"/>
      <c r="C15" s="4"/>
      <c r="D15" s="4" t="s">
        <v>14</v>
      </c>
      <c r="E15" s="4">
        <f t="shared" ref="E15:P15" si="2">E14</f>
        <v>7.6923076923076916</v>
      </c>
      <c r="F15" s="4">
        <f t="shared" si="2"/>
        <v>12.153846153846153</v>
      </c>
      <c r="G15" s="4">
        <f t="shared" si="2"/>
        <v>8.3539679318043447</v>
      </c>
      <c r="H15" s="4">
        <f t="shared" si="2"/>
        <v>8.7517759285569312</v>
      </c>
      <c r="I15" s="4">
        <f t="shared" si="2"/>
        <v>3.2332002083695084</v>
      </c>
      <c r="J15" s="4">
        <f t="shared" si="2"/>
        <v>7.6575794408751516</v>
      </c>
      <c r="K15" s="4">
        <f t="shared" si="2"/>
        <v>4.0638606676342519</v>
      </c>
      <c r="L15" s="4">
        <f t="shared" si="2"/>
        <v>6.2989840348330919</v>
      </c>
      <c r="M15" s="4">
        <f t="shared" si="2"/>
        <v>2.4976830398517142</v>
      </c>
      <c r="N15" s="4">
        <f t="shared" si="2"/>
        <v>4.5412418906394807</v>
      </c>
      <c r="O15" s="4">
        <f t="shared" si="2"/>
        <v>2.9341317365269464</v>
      </c>
      <c r="P15" s="4">
        <f t="shared" si="2"/>
        <v>4.2883463841547673</v>
      </c>
      <c r="Q15" s="4" t="s">
        <v>24</v>
      </c>
    </row>
    <row r="16" spans="1:21" s="1" customFormat="1" x14ac:dyDescent="0.3">
      <c r="A16" s="6"/>
      <c r="B16" s="6"/>
      <c r="C16" s="4"/>
      <c r="D16" s="6" t="s">
        <v>48</v>
      </c>
      <c r="E16" s="4"/>
      <c r="F16" s="4"/>
      <c r="G16" s="4"/>
      <c r="H16" s="4"/>
      <c r="I16" s="4"/>
      <c r="J16" s="4"/>
      <c r="K16" s="4"/>
      <c r="L16" s="4"/>
      <c r="M16" s="4"/>
      <c r="N16" s="4"/>
      <c r="O16" s="4"/>
      <c r="P16" s="4"/>
      <c r="Q16" s="6"/>
    </row>
    <row r="17" spans="1:21" ht="15" thickBot="1" x14ac:dyDescent="0.35">
      <c r="A17" s="8"/>
      <c r="B17" s="8"/>
      <c r="C17" s="9"/>
      <c r="D17" s="8" t="s">
        <v>46</v>
      </c>
      <c r="E17" s="9">
        <f>(E15+F15)/2</f>
        <v>9.9230769230769234</v>
      </c>
      <c r="F17" s="9">
        <f>E17/$E11</f>
        <v>1.140583554376658</v>
      </c>
      <c r="G17" s="9">
        <f>(G15+H15)/2</f>
        <v>8.552871930180638</v>
      </c>
      <c r="H17" s="9">
        <f>G17/$E11</f>
        <v>0.98308872760696997</v>
      </c>
      <c r="I17" s="9">
        <f>(I15+J15)/2</f>
        <v>5.44538982462233</v>
      </c>
      <c r="J17" s="9">
        <f>I17/$E11</f>
        <v>0.62590687639337128</v>
      </c>
      <c r="K17" s="9">
        <f>(K15+L15)/2</f>
        <v>5.1814223512336719</v>
      </c>
      <c r="L17" s="9">
        <f>K17/$E11</f>
        <v>0.59556578749812328</v>
      </c>
      <c r="M17" s="9">
        <f>(M15+N15)/2</f>
        <v>3.5194624652455975</v>
      </c>
      <c r="N17" s="9">
        <f>M17/$E11</f>
        <v>0.40453591554547103</v>
      </c>
      <c r="O17" s="9">
        <f>(O15+P15)/2</f>
        <v>3.6112390603408571</v>
      </c>
      <c r="P17" s="9">
        <f>O17/$E11</f>
        <v>0.41508494946446639</v>
      </c>
      <c r="Q17" s="4"/>
    </row>
    <row r="18" spans="1:21" ht="15" x14ac:dyDescent="0.35">
      <c r="A18" s="4">
        <v>3</v>
      </c>
      <c r="B18" s="4" t="s">
        <v>64</v>
      </c>
      <c r="C18" s="6" t="s">
        <v>31</v>
      </c>
      <c r="D18" s="4">
        <v>0.65</v>
      </c>
      <c r="E18" s="4">
        <v>0.5</v>
      </c>
      <c r="F18" s="4">
        <v>0.79</v>
      </c>
      <c r="G18" s="4">
        <v>0.42</v>
      </c>
      <c r="H18" s="4">
        <v>0.44</v>
      </c>
      <c r="I18" s="4">
        <v>0.19</v>
      </c>
      <c r="J18" s="4">
        <v>0.45</v>
      </c>
      <c r="K18" s="4">
        <v>0.2</v>
      </c>
      <c r="L18" s="4">
        <v>0.31</v>
      </c>
      <c r="M18" s="4">
        <v>0.11</v>
      </c>
      <c r="N18" s="4">
        <v>0.2</v>
      </c>
      <c r="O18" s="4">
        <v>0.13</v>
      </c>
      <c r="P18" s="4">
        <v>0.19</v>
      </c>
      <c r="Q18" s="10" t="s">
        <v>20</v>
      </c>
      <c r="U18" s="2" t="s">
        <v>40</v>
      </c>
    </row>
    <row r="19" spans="1:21" x14ac:dyDescent="0.3">
      <c r="A19" s="4"/>
      <c r="B19" s="4"/>
      <c r="C19" s="6" t="s">
        <v>7</v>
      </c>
      <c r="D19" s="4" t="s">
        <v>16</v>
      </c>
      <c r="E19" s="4">
        <f>E18*10/D18</f>
        <v>7.6923076923076916</v>
      </c>
      <c r="F19" s="4">
        <f>F18*10/D18</f>
        <v>12.153846153846153</v>
      </c>
      <c r="G19" s="4">
        <f>G18*10/D18</f>
        <v>6.4615384615384617</v>
      </c>
      <c r="H19" s="4">
        <f>H18*10/D18</f>
        <v>6.7692307692307692</v>
      </c>
      <c r="I19" s="4">
        <f>I18*10/D18</f>
        <v>2.9230769230769229</v>
      </c>
      <c r="J19" s="4">
        <f>J18*10/D18</f>
        <v>6.9230769230769225</v>
      </c>
      <c r="K19" s="4">
        <f>K18*10/D18</f>
        <v>3.0769230769230766</v>
      </c>
      <c r="L19" s="4">
        <f>L18*10/D18</f>
        <v>4.7692307692307692</v>
      </c>
      <c r="M19" s="4">
        <f>M18*10/D18</f>
        <v>1.6923076923076923</v>
      </c>
      <c r="N19" s="4">
        <f>N18*10/D18</f>
        <v>3.0769230769230766</v>
      </c>
      <c r="O19" s="4">
        <f>O18*10/D18</f>
        <v>2</v>
      </c>
      <c r="P19" s="4">
        <f>P18*10/D18</f>
        <v>2.9230769230769229</v>
      </c>
      <c r="Q19" s="4" t="s">
        <v>21</v>
      </c>
    </row>
    <row r="20" spans="1:21" x14ac:dyDescent="0.3">
      <c r="A20" s="4"/>
      <c r="B20" s="4"/>
      <c r="C20" s="4"/>
      <c r="D20" s="4" t="s">
        <v>77</v>
      </c>
      <c r="E20" s="4">
        <f>E19/E2</f>
        <v>7.6923076923076916</v>
      </c>
      <c r="F20" s="4">
        <f>F19/E2</f>
        <v>12.153846153846153</v>
      </c>
      <c r="G20" s="4">
        <f>G19/G2</f>
        <v>8.3539679318043447</v>
      </c>
      <c r="H20" s="4">
        <f>H19/G2</f>
        <v>8.7517759285569312</v>
      </c>
      <c r="I20" s="4">
        <f>I19/I2</f>
        <v>3.2332002083695084</v>
      </c>
      <c r="J20" s="4">
        <f>J19/I2</f>
        <v>7.6575794408751516</v>
      </c>
      <c r="K20" s="4">
        <f>K19/K2</f>
        <v>4.0638606676342519</v>
      </c>
      <c r="L20" s="4">
        <f>L19/K2</f>
        <v>6.2989840348330919</v>
      </c>
      <c r="M20" s="4">
        <f>M19/M2</f>
        <v>2.4976830398517142</v>
      </c>
      <c r="N20" s="4">
        <f>N19/M2</f>
        <v>4.5412418906394807</v>
      </c>
      <c r="O20" s="4">
        <f>O19/O2</f>
        <v>2.9341317365269464</v>
      </c>
      <c r="P20" s="4">
        <f>P19/O2</f>
        <v>4.2883463841547673</v>
      </c>
      <c r="Q20" s="4"/>
    </row>
    <row r="21" spans="1:21" x14ac:dyDescent="0.3">
      <c r="A21" s="4"/>
      <c r="B21" s="4"/>
      <c r="C21" s="4"/>
      <c r="D21" s="4" t="s">
        <v>14</v>
      </c>
      <c r="E21" s="4">
        <f>E20</f>
        <v>7.6923076923076916</v>
      </c>
      <c r="F21" s="4">
        <f>F20</f>
        <v>12.153846153846153</v>
      </c>
      <c r="G21" s="4">
        <f>G20</f>
        <v>8.3539679318043447</v>
      </c>
      <c r="H21" s="4">
        <f>H20</f>
        <v>8.7517759285569312</v>
      </c>
      <c r="I21" s="4">
        <f t="shared" ref="I21:P21" si="3">I20/10</f>
        <v>0.32332002083695083</v>
      </c>
      <c r="J21" s="4">
        <f t="shared" si="3"/>
        <v>0.76575794408751519</v>
      </c>
      <c r="K21" s="4">
        <f t="shared" si="3"/>
        <v>0.4063860667634252</v>
      </c>
      <c r="L21" s="4">
        <f t="shared" si="3"/>
        <v>0.62989840348330917</v>
      </c>
      <c r="M21" s="4">
        <f t="shared" si="3"/>
        <v>0.24976830398517141</v>
      </c>
      <c r="N21" s="4">
        <f t="shared" si="3"/>
        <v>0.45412418906394808</v>
      </c>
      <c r="O21" s="4">
        <f t="shared" si="3"/>
        <v>0.29341317365269465</v>
      </c>
      <c r="P21" s="4">
        <f t="shared" si="3"/>
        <v>0.42883463841547675</v>
      </c>
      <c r="Q21" s="4" t="s">
        <v>24</v>
      </c>
    </row>
    <row r="22" spans="1:21" s="1" customFormat="1" x14ac:dyDescent="0.3">
      <c r="A22" s="6"/>
      <c r="B22" s="6"/>
      <c r="C22" s="4"/>
      <c r="D22" s="6" t="s">
        <v>48</v>
      </c>
      <c r="E22" s="4"/>
      <c r="F22" s="4"/>
      <c r="G22" s="4"/>
      <c r="H22" s="4"/>
      <c r="I22" s="4"/>
      <c r="J22" s="4"/>
      <c r="K22" s="4"/>
      <c r="L22" s="4"/>
      <c r="M22" s="4"/>
      <c r="N22" s="4"/>
      <c r="O22" s="4"/>
      <c r="P22" s="4"/>
      <c r="Q22" s="6"/>
    </row>
    <row r="23" spans="1:21" ht="15" thickBot="1" x14ac:dyDescent="0.35">
      <c r="A23" s="8"/>
      <c r="B23" s="8"/>
      <c r="C23" s="9"/>
      <c r="D23" s="8" t="s">
        <v>46</v>
      </c>
      <c r="E23" s="9">
        <f>(E21+F21)/2</f>
        <v>9.9230769230769234</v>
      </c>
      <c r="F23" s="9">
        <f>E23/$E11</f>
        <v>1.140583554376658</v>
      </c>
      <c r="G23" s="9">
        <f>(G21+H21)/2</f>
        <v>8.552871930180638</v>
      </c>
      <c r="H23" s="9">
        <f>G23/$E11</f>
        <v>0.98308872760696997</v>
      </c>
      <c r="I23" s="9">
        <f>(I21+J21)/2</f>
        <v>0.54453898246223298</v>
      </c>
      <c r="J23" s="9">
        <f>I23/$E11</f>
        <v>6.2590687639337131E-2</v>
      </c>
      <c r="K23" s="9">
        <f>(K21+L21)/2</f>
        <v>0.51814223512336721</v>
      </c>
      <c r="L23" s="9">
        <f>K23/$E11</f>
        <v>5.9556578749812329E-2</v>
      </c>
      <c r="M23" s="9">
        <f>(M21+N21)/2</f>
        <v>0.35194624652455975</v>
      </c>
      <c r="N23" s="9">
        <f>M23/$E11</f>
        <v>4.04535915545471E-2</v>
      </c>
      <c r="O23" s="9">
        <f>(O21+P21)/2</f>
        <v>0.36112390603408573</v>
      </c>
      <c r="P23" s="9">
        <f>O23/$E11</f>
        <v>4.1508494946446636E-2</v>
      </c>
      <c r="Q23" s="4"/>
      <c r="T23" t="s">
        <v>3</v>
      </c>
      <c r="U23" t="s">
        <v>45</v>
      </c>
    </row>
    <row r="24" spans="1:21" ht="15" x14ac:dyDescent="0.35">
      <c r="A24" s="4">
        <v>4</v>
      </c>
      <c r="B24" s="4" t="s">
        <v>60</v>
      </c>
      <c r="C24" s="6" t="s">
        <v>38</v>
      </c>
      <c r="D24" s="4">
        <v>0.3</v>
      </c>
      <c r="E24" s="4">
        <f>2.7/24</f>
        <v>0.1125</v>
      </c>
      <c r="F24" s="4">
        <f>4.7/24</f>
        <v>0.19583333333333333</v>
      </c>
      <c r="G24" s="4" t="s">
        <v>12</v>
      </c>
      <c r="H24" s="4" t="s">
        <v>12</v>
      </c>
      <c r="I24" s="4">
        <f>5.5/24</f>
        <v>0.22916666666666666</v>
      </c>
      <c r="J24" s="4">
        <f>7.7/24</f>
        <v>0.32083333333333336</v>
      </c>
      <c r="K24" s="4">
        <f>5.5/24</f>
        <v>0.22916666666666666</v>
      </c>
      <c r="L24" s="4">
        <f>7.7/24</f>
        <v>0.32083333333333336</v>
      </c>
      <c r="M24" s="4" t="s">
        <v>12</v>
      </c>
      <c r="N24" s="4" t="s">
        <v>12</v>
      </c>
      <c r="O24" s="4" t="s">
        <v>12</v>
      </c>
      <c r="P24" s="4" t="s">
        <v>12</v>
      </c>
      <c r="Q24" s="10" t="s">
        <v>23</v>
      </c>
      <c r="U24" s="2" t="s">
        <v>37</v>
      </c>
    </row>
    <row r="25" spans="1:21" ht="15" x14ac:dyDescent="0.35">
      <c r="A25" s="4"/>
      <c r="B25" s="4"/>
      <c r="C25" s="6" t="s">
        <v>8</v>
      </c>
      <c r="D25" s="4" t="s">
        <v>17</v>
      </c>
      <c r="E25" s="4">
        <f>E24*10</f>
        <v>1.125</v>
      </c>
      <c r="F25" s="4">
        <f>F24*10</f>
        <v>1.9583333333333333</v>
      </c>
      <c r="G25" s="4"/>
      <c r="H25" s="4"/>
      <c r="I25" s="4">
        <f>I24*10</f>
        <v>2.2916666666666665</v>
      </c>
      <c r="J25" s="4">
        <f>J24*10</f>
        <v>3.2083333333333335</v>
      </c>
      <c r="K25" s="4">
        <f>K24*10</f>
        <v>2.2916666666666665</v>
      </c>
      <c r="L25" s="4">
        <f>L24*10</f>
        <v>3.2083333333333335</v>
      </c>
      <c r="M25" s="4"/>
      <c r="N25" s="4"/>
      <c r="O25" s="4"/>
      <c r="P25" s="4"/>
      <c r="Q25" s="10" t="s">
        <v>22</v>
      </c>
      <c r="U25" s="3" t="s">
        <v>13</v>
      </c>
    </row>
    <row r="26" spans="1:21" x14ac:dyDescent="0.3">
      <c r="A26" s="4"/>
      <c r="B26" s="4"/>
      <c r="C26" s="4" t="s">
        <v>73</v>
      </c>
      <c r="D26" s="4" t="s">
        <v>77</v>
      </c>
      <c r="E26" s="4">
        <f>E25/E2</f>
        <v>1.125</v>
      </c>
      <c r="F26" s="4">
        <f>F25/E2</f>
        <v>1.9583333333333333</v>
      </c>
      <c r="G26" s="4"/>
      <c r="H26" s="4"/>
      <c r="I26" s="4">
        <f>I25/I2</f>
        <v>2.5348006019563583</v>
      </c>
      <c r="J26" s="4">
        <f>J25/I2</f>
        <v>3.5487208427389016</v>
      </c>
      <c r="K26" s="4">
        <f>K25/K2</f>
        <v>3.0267295597484276</v>
      </c>
      <c r="L26" s="4">
        <f>L25/K2</f>
        <v>4.2374213836477992</v>
      </c>
      <c r="M26" s="4"/>
      <c r="N26" s="4"/>
      <c r="O26" s="4"/>
      <c r="P26" s="4"/>
      <c r="Q26" s="4"/>
      <c r="U26" s="3" t="s">
        <v>39</v>
      </c>
    </row>
    <row r="27" spans="1:21" x14ac:dyDescent="0.3">
      <c r="A27" s="4"/>
      <c r="B27" s="4"/>
      <c r="C27" s="4"/>
      <c r="D27" s="4" t="s">
        <v>14</v>
      </c>
      <c r="E27" s="4">
        <f>E26</f>
        <v>1.125</v>
      </c>
      <c r="F27" s="4">
        <f>F26</f>
        <v>1.9583333333333333</v>
      </c>
      <c r="G27" s="4"/>
      <c r="H27" s="4"/>
      <c r="I27" s="4">
        <f>I26</f>
        <v>2.5348006019563583</v>
      </c>
      <c r="J27" s="4">
        <f>J26</f>
        <v>3.5487208427389016</v>
      </c>
      <c r="K27" s="4">
        <f>K26</f>
        <v>3.0267295597484276</v>
      </c>
      <c r="L27" s="4">
        <f>L26</f>
        <v>4.2374213836477992</v>
      </c>
      <c r="M27" s="4"/>
      <c r="N27" s="4"/>
      <c r="O27" s="4"/>
      <c r="P27" s="4"/>
      <c r="Q27" s="4"/>
    </row>
    <row r="28" spans="1:21" s="1" customFormat="1" x14ac:dyDescent="0.3">
      <c r="A28" s="6"/>
      <c r="B28" s="6"/>
      <c r="C28" s="4"/>
      <c r="D28" s="6" t="s">
        <v>48</v>
      </c>
      <c r="E28" s="4"/>
      <c r="F28" s="4"/>
      <c r="G28" s="4"/>
      <c r="H28" s="4"/>
      <c r="I28" s="4"/>
      <c r="J28" s="4"/>
      <c r="K28" s="4"/>
      <c r="L28" s="4"/>
      <c r="M28" s="4"/>
      <c r="N28" s="6"/>
      <c r="O28" s="4"/>
      <c r="P28" s="6"/>
      <c r="Q28" s="6"/>
    </row>
    <row r="29" spans="1:21" ht="15" thickBot="1" x14ac:dyDescent="0.35">
      <c r="A29" s="8"/>
      <c r="B29" s="8"/>
      <c r="C29" s="9"/>
      <c r="D29" s="8" t="s">
        <v>34</v>
      </c>
      <c r="E29" s="9">
        <f>(E27+F27)/2</f>
        <v>1.5416666666666665</v>
      </c>
      <c r="F29" s="9">
        <f>E29/$E11</f>
        <v>0.17720306513409961</v>
      </c>
      <c r="G29" s="9"/>
      <c r="H29" s="9"/>
      <c r="I29" s="9">
        <f>(I27+J27)/2</f>
        <v>3.0417607223476297</v>
      </c>
      <c r="J29" s="9">
        <f>I29/$E11</f>
        <v>0.34962766923535976</v>
      </c>
      <c r="K29" s="9">
        <f>(K27+L27)/2</f>
        <v>3.6320754716981134</v>
      </c>
      <c r="L29" s="9">
        <f>K29/$E11</f>
        <v>0.41747993927564525</v>
      </c>
      <c r="M29" s="9"/>
      <c r="N29" s="9"/>
      <c r="O29" s="9"/>
      <c r="P29" s="9"/>
      <c r="Q29" s="4"/>
    </row>
    <row r="30" spans="1:21" ht="15" x14ac:dyDescent="0.35">
      <c r="A30" s="4">
        <v>5</v>
      </c>
      <c r="B30" s="4" t="s">
        <v>59</v>
      </c>
      <c r="C30" s="6" t="s">
        <v>35</v>
      </c>
      <c r="D30" s="4">
        <v>1</v>
      </c>
      <c r="E30" s="4">
        <v>0.59</v>
      </c>
      <c r="F30" s="4">
        <v>0.76</v>
      </c>
      <c r="G30" s="4">
        <v>0.66</v>
      </c>
      <c r="H30" s="4">
        <v>0.78</v>
      </c>
      <c r="I30" s="4">
        <v>0.33</v>
      </c>
      <c r="J30" s="4">
        <v>0.49</v>
      </c>
      <c r="K30" s="4">
        <v>0.09</v>
      </c>
      <c r="L30" s="4">
        <v>0.69</v>
      </c>
      <c r="M30" s="4">
        <v>0.56000000000000005</v>
      </c>
      <c r="N30" s="4">
        <v>0.65</v>
      </c>
      <c r="O30" s="4">
        <v>0.18</v>
      </c>
      <c r="P30" s="4">
        <v>0.77</v>
      </c>
      <c r="Q30" s="10" t="s">
        <v>27</v>
      </c>
    </row>
    <row r="31" spans="1:21" x14ac:dyDescent="0.3">
      <c r="A31" s="4"/>
      <c r="B31" s="4"/>
      <c r="C31" s="6" t="s">
        <v>67</v>
      </c>
      <c r="D31" s="4" t="s">
        <v>49</v>
      </c>
      <c r="E31" s="4">
        <f>(E30*3.5/$D30)*1.2</f>
        <v>2.4779999999999998</v>
      </c>
      <c r="F31" s="4">
        <f t="shared" ref="F31:O31" si="4">(F30*3.5/$D30)*1.2</f>
        <v>3.1920000000000002</v>
      </c>
      <c r="G31" s="4">
        <f t="shared" si="4"/>
        <v>2.7719999999999998</v>
      </c>
      <c r="H31" s="4">
        <f t="shared" si="4"/>
        <v>3.2759999999999998</v>
      </c>
      <c r="I31" s="4">
        <f t="shared" si="4"/>
        <v>1.3859999999999999</v>
      </c>
      <c r="J31" s="4">
        <f t="shared" si="4"/>
        <v>2.0579999999999998</v>
      </c>
      <c r="K31" s="4">
        <f t="shared" si="4"/>
        <v>0.378</v>
      </c>
      <c r="L31" s="4">
        <f t="shared" si="4"/>
        <v>2.8980000000000001</v>
      </c>
      <c r="M31" s="4">
        <f t="shared" si="4"/>
        <v>2.3520000000000003</v>
      </c>
      <c r="N31" s="4">
        <f t="shared" si="4"/>
        <v>2.73</v>
      </c>
      <c r="O31" s="4">
        <f t="shared" si="4"/>
        <v>0.75600000000000001</v>
      </c>
      <c r="P31" s="4">
        <f>(P30*3.5/$D30)*1.2</f>
        <v>3.2340000000000004</v>
      </c>
      <c r="Q31" s="4"/>
    </row>
    <row r="32" spans="1:21" x14ac:dyDescent="0.3">
      <c r="A32" s="4"/>
      <c r="B32" s="4"/>
      <c r="C32" s="4" t="s">
        <v>68</v>
      </c>
      <c r="D32" s="4" t="s">
        <v>77</v>
      </c>
      <c r="E32" s="4">
        <f>E31/E2</f>
        <v>2.4779999999999998</v>
      </c>
      <c r="F32" s="4">
        <f>F31/E2</f>
        <v>3.1920000000000002</v>
      </c>
      <c r="G32" s="4">
        <f>G31/G2</f>
        <v>3.5838522427440633</v>
      </c>
      <c r="H32" s="4">
        <f>H31/G2</f>
        <v>4.2354617414248024</v>
      </c>
      <c r="I32" s="4">
        <f>I31/I2</f>
        <v>1.5330474040632054</v>
      </c>
      <c r="J32" s="4">
        <f>J31/I2</f>
        <v>2.2763431151241535</v>
      </c>
      <c r="K32" s="4">
        <f>K31/K2</f>
        <v>0.49924528301886795</v>
      </c>
      <c r="L32" s="4">
        <f>L31/K2</f>
        <v>3.827547169811321</v>
      </c>
      <c r="M32" s="4">
        <f>M31/M2</f>
        <v>3.4713253012048195</v>
      </c>
      <c r="N32" s="4">
        <f>N31/M2</f>
        <v>4.0292168674698789</v>
      </c>
      <c r="O32" s="4">
        <f>O31/O2</f>
        <v>1.1091017964071856</v>
      </c>
      <c r="P32" s="4">
        <f>P31/O2</f>
        <v>4.7444910179640729</v>
      </c>
      <c r="Q32" s="4" t="s">
        <v>69</v>
      </c>
    </row>
    <row r="33" spans="1:21" x14ac:dyDescent="0.3">
      <c r="A33" s="4"/>
      <c r="B33" s="4"/>
      <c r="C33" s="4"/>
      <c r="D33" s="4" t="s">
        <v>14</v>
      </c>
      <c r="E33" s="4">
        <f t="shared" ref="E33:P33" si="5">E32</f>
        <v>2.4779999999999998</v>
      </c>
      <c r="F33" s="4">
        <f t="shared" si="5"/>
        <v>3.1920000000000002</v>
      </c>
      <c r="G33" s="4">
        <f t="shared" si="5"/>
        <v>3.5838522427440633</v>
      </c>
      <c r="H33" s="4">
        <f t="shared" si="5"/>
        <v>4.2354617414248024</v>
      </c>
      <c r="I33" s="4">
        <f t="shared" si="5"/>
        <v>1.5330474040632054</v>
      </c>
      <c r="J33" s="4">
        <f t="shared" si="5"/>
        <v>2.2763431151241535</v>
      </c>
      <c r="K33" s="4">
        <f t="shared" si="5"/>
        <v>0.49924528301886795</v>
      </c>
      <c r="L33" s="4">
        <f t="shared" si="5"/>
        <v>3.827547169811321</v>
      </c>
      <c r="M33" s="4">
        <f t="shared" si="5"/>
        <v>3.4713253012048195</v>
      </c>
      <c r="N33" s="4">
        <f t="shared" si="5"/>
        <v>4.0292168674698789</v>
      </c>
      <c r="O33" s="4">
        <f t="shared" si="5"/>
        <v>1.1091017964071856</v>
      </c>
      <c r="P33" s="4">
        <f t="shared" si="5"/>
        <v>4.7444910179640729</v>
      </c>
      <c r="Q33" s="4" t="s">
        <v>70</v>
      </c>
    </row>
    <row r="34" spans="1:21" s="1" customFormat="1" x14ac:dyDescent="0.3">
      <c r="A34" s="6"/>
      <c r="B34" s="6"/>
      <c r="C34" s="4"/>
      <c r="D34" s="6" t="s">
        <v>48</v>
      </c>
      <c r="E34" s="4"/>
      <c r="F34" s="4"/>
      <c r="G34" s="4"/>
      <c r="H34" s="4"/>
      <c r="I34" s="4"/>
      <c r="J34" s="4"/>
      <c r="K34" s="4"/>
      <c r="L34" s="4"/>
      <c r="M34" s="4"/>
      <c r="N34" s="4"/>
      <c r="O34" s="4"/>
      <c r="P34" s="4"/>
      <c r="Q34" s="6"/>
    </row>
    <row r="35" spans="1:21" ht="15" thickBot="1" x14ac:dyDescent="0.35">
      <c r="A35" s="8"/>
      <c r="B35" s="8"/>
      <c r="C35" s="9"/>
      <c r="D35" s="8" t="s">
        <v>34</v>
      </c>
      <c r="E35" s="9">
        <f>(E33+F33)/2</f>
        <v>2.835</v>
      </c>
      <c r="F35" s="9">
        <f>E35/$E11</f>
        <v>0.32586206896551728</v>
      </c>
      <c r="G35" s="9">
        <f>(G33+H33)/2</f>
        <v>3.9096569920844328</v>
      </c>
      <c r="H35" s="9">
        <f>G35/$E11</f>
        <v>0.44938586115913026</v>
      </c>
      <c r="I35" s="9">
        <f t="shared" ref="I35" si="6">(I33+J33)/2</f>
        <v>1.9046952595936795</v>
      </c>
      <c r="J35" s="9">
        <f>I35/$E11</f>
        <v>0.21893048960846892</v>
      </c>
      <c r="K35" s="9">
        <f t="shared" ref="K35" si="7">(K33+L33)/2</f>
        <v>2.1633962264150943</v>
      </c>
      <c r="L35" s="9">
        <f>K35/$E11</f>
        <v>0.24866623292127524</v>
      </c>
      <c r="M35" s="9">
        <f>(M33+N33)/2</f>
        <v>3.7502710843373492</v>
      </c>
      <c r="N35" s="9">
        <f>M35/$E11</f>
        <v>0.43106564187785629</v>
      </c>
      <c r="O35" s="9">
        <f t="shared" ref="O35" si="8">(O33+P33)/2</f>
        <v>2.9267964071856292</v>
      </c>
      <c r="P35" s="9">
        <f>O35/$E11</f>
        <v>0.33641338013627925</v>
      </c>
      <c r="Q35" s="4"/>
    </row>
    <row r="36" spans="1:21" ht="19.2" x14ac:dyDescent="0.45">
      <c r="A36" s="4">
        <v>6</v>
      </c>
      <c r="B36" s="4" t="s">
        <v>66</v>
      </c>
      <c r="C36" s="6" t="s">
        <v>71</v>
      </c>
      <c r="D36" s="4">
        <v>0.8</v>
      </c>
      <c r="E36" s="4">
        <v>0.41</v>
      </c>
      <c r="F36" s="4">
        <v>0.41</v>
      </c>
      <c r="G36" s="4">
        <v>0.3</v>
      </c>
      <c r="H36" s="4">
        <v>0.3</v>
      </c>
      <c r="I36" s="4">
        <f>5.5/20</f>
        <v>0.27500000000000002</v>
      </c>
      <c r="J36" s="4">
        <f>5.5/20</f>
        <v>0.27500000000000002</v>
      </c>
      <c r="K36" s="4">
        <f>5.76/20</f>
        <v>0.28799999999999998</v>
      </c>
      <c r="L36" s="4">
        <f>5.76/20</f>
        <v>0.28799999999999998</v>
      </c>
      <c r="M36" s="4">
        <v>0.39</v>
      </c>
      <c r="N36" s="4">
        <v>0.39</v>
      </c>
      <c r="O36" s="4">
        <v>0.45</v>
      </c>
      <c r="P36" s="4">
        <v>0.52</v>
      </c>
      <c r="Q36" s="11" t="s">
        <v>26</v>
      </c>
      <c r="U36" s="2" t="s">
        <v>36</v>
      </c>
    </row>
    <row r="37" spans="1:21" ht="15" x14ac:dyDescent="0.35">
      <c r="A37" s="4"/>
      <c r="B37" s="4"/>
      <c r="C37" s="6" t="s">
        <v>72</v>
      </c>
      <c r="D37" s="4" t="s">
        <v>50</v>
      </c>
      <c r="E37" s="4">
        <f>(E36*20/$D36)*1.1</f>
        <v>11.274999999999999</v>
      </c>
      <c r="F37" s="4">
        <f t="shared" ref="F37:P37" si="9">(F36*20/$D36)*1.1</f>
        <v>11.274999999999999</v>
      </c>
      <c r="G37" s="4">
        <f t="shared" si="9"/>
        <v>8.25</v>
      </c>
      <c r="H37" s="4">
        <f t="shared" si="9"/>
        <v>8.25</v>
      </c>
      <c r="I37" s="4">
        <f t="shared" si="9"/>
        <v>7.5625000000000009</v>
      </c>
      <c r="J37" s="4">
        <f t="shared" si="9"/>
        <v>7.5625000000000009</v>
      </c>
      <c r="K37" s="4">
        <f t="shared" si="9"/>
        <v>7.92</v>
      </c>
      <c r="L37" s="4">
        <f t="shared" si="9"/>
        <v>7.92</v>
      </c>
      <c r="M37" s="4">
        <f t="shared" si="9"/>
        <v>10.725000000000001</v>
      </c>
      <c r="N37" s="4">
        <f t="shared" si="9"/>
        <v>10.725000000000001</v>
      </c>
      <c r="O37" s="4">
        <f t="shared" si="9"/>
        <v>12.375000000000002</v>
      </c>
      <c r="P37" s="4">
        <f t="shared" si="9"/>
        <v>14.3</v>
      </c>
      <c r="Q37" s="10" t="s">
        <v>25</v>
      </c>
    </row>
    <row r="38" spans="1:21" ht="15" x14ac:dyDescent="0.35">
      <c r="A38" s="4"/>
      <c r="B38" s="4"/>
      <c r="C38" s="4"/>
      <c r="D38" s="4" t="s">
        <v>77</v>
      </c>
      <c r="E38" s="4">
        <f>E37/E2</f>
        <v>11.274999999999999</v>
      </c>
      <c r="F38" s="4">
        <f>F37/E2</f>
        <v>11.274999999999999</v>
      </c>
      <c r="G38" s="4">
        <f>G37/G2</f>
        <v>10.66622691292876</v>
      </c>
      <c r="H38" s="4">
        <f>H37/G2</f>
        <v>10.66622691292876</v>
      </c>
      <c r="I38" s="4">
        <f>I37/I2</f>
        <v>8.3648419864559838</v>
      </c>
      <c r="J38" s="4">
        <f>J37/I2</f>
        <v>8.3648419864559838</v>
      </c>
      <c r="K38" s="4">
        <f>K37/K2</f>
        <v>10.460377358490566</v>
      </c>
      <c r="L38" s="4">
        <f>L37/K2</f>
        <v>10.460377358490566</v>
      </c>
      <c r="M38" s="4">
        <f>M37/M2</f>
        <v>15.829066265060243</v>
      </c>
      <c r="N38" s="4">
        <f>N37/M2</f>
        <v>15.829066265060243</v>
      </c>
      <c r="O38" s="4">
        <f>O37/O2</f>
        <v>18.154940119760482</v>
      </c>
      <c r="P38" s="4">
        <f>P37/O2</f>
        <v>20.979041916167667</v>
      </c>
      <c r="Q38" s="10" t="s">
        <v>28</v>
      </c>
    </row>
    <row r="39" spans="1:21" x14ac:dyDescent="0.3">
      <c r="A39" s="4"/>
      <c r="B39" s="4"/>
      <c r="C39" s="4"/>
      <c r="D39" s="4" t="s">
        <v>14</v>
      </c>
      <c r="E39" s="4">
        <f t="shared" ref="E39:P39" si="10">E38</f>
        <v>11.274999999999999</v>
      </c>
      <c r="F39" s="4">
        <f t="shared" si="10"/>
        <v>11.274999999999999</v>
      </c>
      <c r="G39" s="4">
        <f t="shared" si="10"/>
        <v>10.66622691292876</v>
      </c>
      <c r="H39" s="4">
        <f t="shared" si="10"/>
        <v>10.66622691292876</v>
      </c>
      <c r="I39" s="4">
        <f t="shared" si="10"/>
        <v>8.3648419864559838</v>
      </c>
      <c r="J39" s="4">
        <f t="shared" si="10"/>
        <v>8.3648419864559838</v>
      </c>
      <c r="K39" s="4">
        <f t="shared" si="10"/>
        <v>10.460377358490566</v>
      </c>
      <c r="L39" s="4">
        <f t="shared" si="10"/>
        <v>10.460377358490566</v>
      </c>
      <c r="M39" s="4">
        <f t="shared" si="10"/>
        <v>15.829066265060243</v>
      </c>
      <c r="N39" s="4">
        <f t="shared" si="10"/>
        <v>15.829066265060243</v>
      </c>
      <c r="O39" s="4">
        <f t="shared" si="10"/>
        <v>18.154940119760482</v>
      </c>
      <c r="P39" s="4">
        <f t="shared" si="10"/>
        <v>20.979041916167667</v>
      </c>
      <c r="Q39" s="4"/>
    </row>
    <row r="40" spans="1:21" s="1" customFormat="1" x14ac:dyDescent="0.3">
      <c r="A40" s="6"/>
      <c r="B40" s="6"/>
      <c r="C40" s="4"/>
      <c r="D40" s="6" t="s">
        <v>48</v>
      </c>
      <c r="E40" s="4"/>
      <c r="F40" s="4"/>
      <c r="G40" s="4"/>
      <c r="H40" s="4"/>
      <c r="I40" s="4"/>
      <c r="J40" s="4"/>
      <c r="K40" s="4"/>
      <c r="L40" s="4"/>
      <c r="M40" s="4"/>
      <c r="N40" s="4"/>
      <c r="O40" s="4"/>
      <c r="P40" s="4"/>
      <c r="Q40" s="6"/>
    </row>
    <row r="41" spans="1:21" ht="15" thickBot="1" x14ac:dyDescent="0.35">
      <c r="A41" s="8"/>
      <c r="B41" s="8"/>
      <c r="C41" s="8"/>
      <c r="D41" s="8" t="s">
        <v>34</v>
      </c>
      <c r="E41" s="9">
        <f>(E39+F39)/2</f>
        <v>11.274999999999999</v>
      </c>
      <c r="F41" s="9">
        <f>E41/$E11</f>
        <v>1.2959770114942528</v>
      </c>
      <c r="G41" s="9">
        <f>(G39+H39)/2</f>
        <v>10.66622691292876</v>
      </c>
      <c r="H41" s="9">
        <f>G41/$E11</f>
        <v>1.2260030934400874</v>
      </c>
      <c r="I41" s="9">
        <f>(I39+J39)/2</f>
        <v>8.3648419864559838</v>
      </c>
      <c r="J41" s="9">
        <f>I41/$E11</f>
        <v>0.96147609039723958</v>
      </c>
      <c r="K41" s="9">
        <f>(K39+L39)/2</f>
        <v>10.460377358490566</v>
      </c>
      <c r="L41" s="9">
        <f>K41/$E11</f>
        <v>1.2023422251138582</v>
      </c>
      <c r="M41" s="9">
        <f>(M39+N39)/2</f>
        <v>15.829066265060243</v>
      </c>
      <c r="N41" s="9">
        <f>M41/$E11</f>
        <v>1.8194329040299131</v>
      </c>
      <c r="O41" s="9">
        <f>(O39+P39)/2</f>
        <v>19.566991017964074</v>
      </c>
      <c r="P41" s="9">
        <f>O41/$E11</f>
        <v>2.2490794273521928</v>
      </c>
      <c r="Q41" s="4"/>
    </row>
    <row r="42" spans="1:21" ht="15" x14ac:dyDescent="0.35">
      <c r="A42" s="4">
        <v>7</v>
      </c>
      <c r="B42" s="4" t="s">
        <v>54</v>
      </c>
      <c r="C42" s="6" t="s">
        <v>51</v>
      </c>
      <c r="D42" s="4">
        <v>1</v>
      </c>
      <c r="E42" s="4">
        <v>3.75</v>
      </c>
      <c r="F42" s="4">
        <v>3.75</v>
      </c>
      <c r="G42" s="4">
        <v>2.61</v>
      </c>
      <c r="H42" s="4">
        <v>2.61</v>
      </c>
      <c r="I42" s="4">
        <v>5</v>
      </c>
      <c r="J42" s="4">
        <v>6.99</v>
      </c>
      <c r="K42" s="4">
        <v>2.5</v>
      </c>
      <c r="L42" s="4">
        <v>2.5</v>
      </c>
      <c r="M42" s="4">
        <v>2.59</v>
      </c>
      <c r="N42" s="4">
        <v>2.59</v>
      </c>
      <c r="O42" s="4">
        <v>2.06</v>
      </c>
      <c r="P42" s="4">
        <v>5.15</v>
      </c>
      <c r="Q42" s="10"/>
      <c r="U42" s="1"/>
    </row>
    <row r="43" spans="1:21" x14ac:dyDescent="0.3">
      <c r="A43" s="4"/>
      <c r="B43" s="4" t="s">
        <v>53</v>
      </c>
      <c r="C43" s="6" t="s">
        <v>65</v>
      </c>
      <c r="D43" s="4" t="s">
        <v>49</v>
      </c>
      <c r="E43" s="4">
        <f t="shared" ref="E43:P43" si="11">(E42/$D42)*1.1</f>
        <v>4.125</v>
      </c>
      <c r="F43" s="4">
        <f t="shared" si="11"/>
        <v>4.125</v>
      </c>
      <c r="G43" s="4">
        <f t="shared" si="11"/>
        <v>2.871</v>
      </c>
      <c r="H43" s="4">
        <f t="shared" si="11"/>
        <v>2.871</v>
      </c>
      <c r="I43" s="4">
        <f t="shared" si="11"/>
        <v>5.5</v>
      </c>
      <c r="J43" s="4">
        <f t="shared" si="11"/>
        <v>7.6890000000000009</v>
      </c>
      <c r="K43" s="4">
        <f t="shared" si="11"/>
        <v>2.75</v>
      </c>
      <c r="L43" s="4">
        <f t="shared" si="11"/>
        <v>2.75</v>
      </c>
      <c r="M43" s="4">
        <f t="shared" si="11"/>
        <v>2.8490000000000002</v>
      </c>
      <c r="N43" s="4">
        <f t="shared" si="11"/>
        <v>2.8490000000000002</v>
      </c>
      <c r="O43" s="4">
        <f t="shared" si="11"/>
        <v>2.2660000000000005</v>
      </c>
      <c r="P43" s="4">
        <f t="shared" si="11"/>
        <v>5.6650000000000009</v>
      </c>
      <c r="Q43" s="4"/>
    </row>
    <row r="44" spans="1:21" x14ac:dyDescent="0.3">
      <c r="A44" s="4"/>
      <c r="B44" s="4"/>
      <c r="C44" s="4" t="s">
        <v>52</v>
      </c>
      <c r="D44" s="4" t="s">
        <v>77</v>
      </c>
      <c r="E44" s="4">
        <f>E43/E2</f>
        <v>4.125</v>
      </c>
      <c r="F44" s="4">
        <f>F43/E2</f>
        <v>4.125</v>
      </c>
      <c r="G44" s="4">
        <f>G43/G2</f>
        <v>3.7118469656992086</v>
      </c>
      <c r="H44" s="4">
        <f>H43/G2</f>
        <v>3.7118469656992086</v>
      </c>
      <c r="I44" s="4">
        <f>I43/I2</f>
        <v>6.0835214446952595</v>
      </c>
      <c r="J44" s="4">
        <f>J43/I2</f>
        <v>8.5047629796839743</v>
      </c>
      <c r="K44" s="4">
        <f>K43/K2</f>
        <v>3.6320754716981134</v>
      </c>
      <c r="L44" s="4">
        <f>L43/K2</f>
        <v>3.6320754716981134</v>
      </c>
      <c r="M44" s="4">
        <f>M43/M2</f>
        <v>4.2048493975903618</v>
      </c>
      <c r="N44" s="4">
        <f>N43/M2</f>
        <v>4.2048493975903618</v>
      </c>
      <c r="O44" s="4">
        <f>O43/O2</f>
        <v>3.3243712574850308</v>
      </c>
      <c r="P44" s="4">
        <f>P43/O2</f>
        <v>8.3109281437125766</v>
      </c>
      <c r="Q44" s="4"/>
    </row>
    <row r="45" spans="1:21" x14ac:dyDescent="0.3">
      <c r="A45" s="4"/>
      <c r="B45" s="4"/>
      <c r="C45" s="4"/>
      <c r="D45" s="4" t="s">
        <v>14</v>
      </c>
      <c r="E45" s="4">
        <f t="shared" ref="E45:P45" si="12">E44</f>
        <v>4.125</v>
      </c>
      <c r="F45" s="4">
        <f t="shared" si="12"/>
        <v>4.125</v>
      </c>
      <c r="G45" s="4">
        <f t="shared" si="12"/>
        <v>3.7118469656992086</v>
      </c>
      <c r="H45" s="4">
        <f t="shared" si="12"/>
        <v>3.7118469656992086</v>
      </c>
      <c r="I45" s="4">
        <f t="shared" si="12"/>
        <v>6.0835214446952595</v>
      </c>
      <c r="J45" s="4">
        <f t="shared" si="12"/>
        <v>8.5047629796839743</v>
      </c>
      <c r="K45" s="4">
        <f t="shared" si="12"/>
        <v>3.6320754716981134</v>
      </c>
      <c r="L45" s="4">
        <f t="shared" si="12"/>
        <v>3.6320754716981134</v>
      </c>
      <c r="M45" s="4">
        <f t="shared" si="12"/>
        <v>4.2048493975903618</v>
      </c>
      <c r="N45" s="4">
        <f t="shared" si="12"/>
        <v>4.2048493975903618</v>
      </c>
      <c r="O45" s="4">
        <f t="shared" si="12"/>
        <v>3.3243712574850308</v>
      </c>
      <c r="P45" s="4">
        <f t="shared" si="12"/>
        <v>8.3109281437125766</v>
      </c>
      <c r="Q45" s="4"/>
    </row>
    <row r="46" spans="1:21" x14ac:dyDescent="0.3">
      <c r="A46" s="4"/>
      <c r="B46" s="4"/>
      <c r="C46" s="4"/>
      <c r="D46" s="6" t="s">
        <v>48</v>
      </c>
      <c r="E46" s="4"/>
      <c r="F46" s="4"/>
      <c r="G46" s="4"/>
      <c r="H46" s="4"/>
      <c r="I46" s="4"/>
      <c r="J46" s="4"/>
      <c r="K46" s="4"/>
      <c r="L46" s="4"/>
      <c r="M46" s="4"/>
      <c r="N46" s="4"/>
      <c r="O46" s="4"/>
      <c r="P46" s="4"/>
      <c r="Q46" s="4"/>
    </row>
    <row r="47" spans="1:21" ht="15" thickBot="1" x14ac:dyDescent="0.35">
      <c r="A47" s="4"/>
      <c r="B47" s="4"/>
      <c r="C47" s="9"/>
      <c r="D47" s="8" t="s">
        <v>34</v>
      </c>
      <c r="E47" s="9">
        <f>(E45+F45)/2</f>
        <v>4.125</v>
      </c>
      <c r="F47" s="9">
        <f>E47/$E11</f>
        <v>0.47413793103448282</v>
      </c>
      <c r="G47" s="9">
        <f>(G45+H45)/2</f>
        <v>3.7118469656992086</v>
      </c>
      <c r="H47" s="9">
        <f>G47/$E11</f>
        <v>0.42664907651715045</v>
      </c>
      <c r="I47" s="9">
        <f t="shared" ref="I47" si="13">(I45+J45)/2</f>
        <v>7.2941422121896169</v>
      </c>
      <c r="J47" s="9">
        <f>I47/$E11</f>
        <v>0.83840715082639283</v>
      </c>
      <c r="K47" s="9">
        <f t="shared" ref="K47" si="14">(K45+L45)/2</f>
        <v>3.6320754716981134</v>
      </c>
      <c r="L47" s="9">
        <f>K47/$E11</f>
        <v>0.41747993927564525</v>
      </c>
      <c r="M47" s="9">
        <f>(M45+N45)/2</f>
        <v>4.2048493975903618</v>
      </c>
      <c r="N47" s="9">
        <f>M47/$E11</f>
        <v>0.4833160227115359</v>
      </c>
      <c r="O47" s="9">
        <f>(O45+P45)/2</f>
        <v>5.8176497005988033</v>
      </c>
      <c r="P47" s="9">
        <f>O47/$E11</f>
        <v>0.66869536788492001</v>
      </c>
      <c r="Q47" s="4"/>
    </row>
    <row r="65" spans="4:16" x14ac:dyDescent="0.3">
      <c r="D65" t="s">
        <v>58</v>
      </c>
    </row>
    <row r="67" spans="4:16" x14ac:dyDescent="0.3">
      <c r="D67" s="1" t="s">
        <v>44</v>
      </c>
      <c r="E67" s="1" t="s">
        <v>2</v>
      </c>
      <c r="F67" s="1"/>
      <c r="G67" s="1" t="s">
        <v>3</v>
      </c>
      <c r="H67" s="1"/>
      <c r="I67" s="1" t="s">
        <v>11</v>
      </c>
      <c r="J67" s="1"/>
      <c r="K67" s="1" t="s">
        <v>6</v>
      </c>
      <c r="L67" s="1"/>
      <c r="M67" s="1" t="s">
        <v>4</v>
      </c>
      <c r="N67" s="1"/>
      <c r="O67" s="1" t="s">
        <v>5</v>
      </c>
    </row>
    <row r="68" spans="4:16" x14ac:dyDescent="0.3">
      <c r="E68" t="s">
        <v>32</v>
      </c>
      <c r="F68" t="s">
        <v>33</v>
      </c>
      <c r="G68" t="s">
        <v>32</v>
      </c>
      <c r="H68" t="s">
        <v>33</v>
      </c>
      <c r="I68" t="s">
        <v>32</v>
      </c>
      <c r="J68" t="s">
        <v>33</v>
      </c>
      <c r="K68" t="s">
        <v>32</v>
      </c>
      <c r="L68" t="s">
        <v>33</v>
      </c>
      <c r="M68" t="s">
        <v>32</v>
      </c>
      <c r="N68" t="s">
        <v>33</v>
      </c>
      <c r="O68" t="s">
        <v>32</v>
      </c>
      <c r="P68" t="s">
        <v>33</v>
      </c>
    </row>
    <row r="69" spans="4:16" x14ac:dyDescent="0.3">
      <c r="D69" t="s">
        <v>42</v>
      </c>
      <c r="E69">
        <f>(E11-E9)/E11*F11</f>
        <v>3.4482758620689537E-2</v>
      </c>
      <c r="F69">
        <f t="shared" ref="F69:F75" si="15">E69</f>
        <v>3.4482758620689537E-2</v>
      </c>
      <c r="G69">
        <f>(G11-G9)/G11*H11</f>
        <v>0.14860643556849537</v>
      </c>
      <c r="H69">
        <f t="shared" ref="H69:H75" si="16">G69</f>
        <v>0.14860643556849537</v>
      </c>
      <c r="I69">
        <f>(I11-I9)/I11*J11</f>
        <v>7.6282400560441971E-2</v>
      </c>
      <c r="J69">
        <f t="shared" ref="J69:J75" si="17">I69</f>
        <v>7.6282400560441971E-2</v>
      </c>
      <c r="K69">
        <f>(K11-K9)/K11*L11</f>
        <v>0.13662979830839292</v>
      </c>
      <c r="L69">
        <f t="shared" ref="L69:L75" si="18">K69</f>
        <v>0.13662979830839292</v>
      </c>
      <c r="M69">
        <f>(M11-M9)/M11*N11</f>
        <v>6.7857637446336896E-2</v>
      </c>
      <c r="N69">
        <f>M69</f>
        <v>6.7857637446336896E-2</v>
      </c>
      <c r="O69">
        <f>(O11-O9)/O11*P11</f>
        <v>0.45529630394383652</v>
      </c>
      <c r="P69">
        <f>O69</f>
        <v>0.45529630394383652</v>
      </c>
    </row>
    <row r="70" spans="4:16" x14ac:dyDescent="0.3">
      <c r="D70" t="s">
        <v>57</v>
      </c>
      <c r="E70">
        <f>(E41-E39)/E41*F41</f>
        <v>0</v>
      </c>
      <c r="F70">
        <f t="shared" si="15"/>
        <v>0</v>
      </c>
      <c r="G70">
        <f>(G41-G39)/G41*H41</f>
        <v>0</v>
      </c>
      <c r="H70">
        <f t="shared" si="16"/>
        <v>0</v>
      </c>
      <c r="I70">
        <f>(I41-I39)/I41*J41</f>
        <v>0</v>
      </c>
      <c r="J70">
        <f t="shared" si="17"/>
        <v>0</v>
      </c>
      <c r="K70">
        <f>(K41-K39)/K41*L41</f>
        <v>0</v>
      </c>
      <c r="L70">
        <f t="shared" si="18"/>
        <v>0</v>
      </c>
      <c r="M70">
        <f>(M41-M39)/M41*N41</f>
        <v>0</v>
      </c>
      <c r="N70">
        <f>M70</f>
        <v>0</v>
      </c>
      <c r="O70">
        <f>(O41-O39)/O41*P41</f>
        <v>0.16230470094294167</v>
      </c>
      <c r="P70">
        <f>O70</f>
        <v>0.16230470094294167</v>
      </c>
    </row>
    <row r="71" spans="4:16" x14ac:dyDescent="0.3">
      <c r="D71" t="s">
        <v>43</v>
      </c>
      <c r="E71">
        <f>(E29-E27)/E29*F29</f>
        <v>4.7892720306513391E-2</v>
      </c>
      <c r="F71">
        <f t="shared" si="15"/>
        <v>4.7892720306513391E-2</v>
      </c>
      <c r="G71">
        <v>0</v>
      </c>
      <c r="H71">
        <f t="shared" si="16"/>
        <v>0</v>
      </c>
      <c r="I71">
        <f>(I29-I27)/I29*J29</f>
        <v>5.8271278205893277E-2</v>
      </c>
      <c r="J71">
        <f t="shared" si="17"/>
        <v>5.8271278205893277E-2</v>
      </c>
      <c r="K71">
        <f>(K29-K27)/K29*L29</f>
        <v>6.9579989879274246E-2</v>
      </c>
      <c r="L71">
        <f t="shared" si="18"/>
        <v>6.9579989879274246E-2</v>
      </c>
      <c r="M71">
        <f t="shared" ref="M71" si="19">M29-M27</f>
        <v>0</v>
      </c>
      <c r="N71">
        <f t="shared" ref="N71" si="20">M71</f>
        <v>0</v>
      </c>
      <c r="O71">
        <f t="shared" ref="O71" si="21">O29-O27</f>
        <v>0</v>
      </c>
      <c r="P71">
        <f t="shared" ref="P71" si="22">O71</f>
        <v>0</v>
      </c>
    </row>
    <row r="72" spans="4:16" x14ac:dyDescent="0.3">
      <c r="D72" t="s">
        <v>61</v>
      </c>
      <c r="E72">
        <f>(E17-E15)/E17*F17</f>
        <v>0.25641025641025655</v>
      </c>
      <c r="F72">
        <f t="shared" si="15"/>
        <v>0.25641025641025655</v>
      </c>
      <c r="G72">
        <f>(G17-G15)/G17*H17</f>
        <v>2.2862528548999225E-2</v>
      </c>
      <c r="H72">
        <f t="shared" si="16"/>
        <v>2.2862528548999225E-2</v>
      </c>
      <c r="I72">
        <f>(I17-I15)/I17*J17</f>
        <v>0.25427466853480707</v>
      </c>
      <c r="J72">
        <f t="shared" si="17"/>
        <v>0.25427466853480707</v>
      </c>
      <c r="K72">
        <f>(K17-K15)/K17*L17</f>
        <v>0.12845536593096782</v>
      </c>
      <c r="L72">
        <f t="shared" si="18"/>
        <v>0.12845536593096782</v>
      </c>
      <c r="M72">
        <f>(M17-M15)/M17*N17</f>
        <v>0.11744591096481417</v>
      </c>
      <c r="N72">
        <f>M72</f>
        <v>0.11744591096481417</v>
      </c>
      <c r="O72">
        <f>(O17-O15)/O17*P17</f>
        <v>7.7828428024587448E-2</v>
      </c>
      <c r="P72">
        <f>O72</f>
        <v>7.7828428024587448E-2</v>
      </c>
    </row>
    <row r="73" spans="4:16" x14ac:dyDescent="0.3">
      <c r="D73" t="s">
        <v>62</v>
      </c>
      <c r="E73">
        <f>(E23-E21)/E23*F23</f>
        <v>0.25641025641025655</v>
      </c>
      <c r="F73">
        <f t="shared" si="15"/>
        <v>0.25641025641025655</v>
      </c>
      <c r="G73">
        <f>(G23-G21)/G23*H23</f>
        <v>2.2862528548999225E-2</v>
      </c>
      <c r="H73">
        <f t="shared" si="16"/>
        <v>2.2862528548999225E-2</v>
      </c>
      <c r="I73">
        <f>(I23-I21)/I23*J23</f>
        <v>2.5427466853480709E-2</v>
      </c>
      <c r="J73">
        <f t="shared" si="17"/>
        <v>2.5427466853480709E-2</v>
      </c>
      <c r="K73">
        <f>(K23-K21)/K23*L23</f>
        <v>1.2845536593096785E-2</v>
      </c>
      <c r="L73">
        <f t="shared" si="18"/>
        <v>1.2845536593096785E-2</v>
      </c>
      <c r="M73">
        <f>(M23-M21)/M23*N23</f>
        <v>1.1744591096481419E-2</v>
      </c>
      <c r="N73">
        <f>M73</f>
        <v>1.1744591096481419E-2</v>
      </c>
      <c r="O73">
        <f>(O23-O21)/O23*P23</f>
        <v>7.7828428024587452E-3</v>
      </c>
      <c r="P73">
        <f>O73</f>
        <v>7.7828428024587452E-3</v>
      </c>
    </row>
    <row r="74" spans="4:16" x14ac:dyDescent="0.3">
      <c r="D74" t="s">
        <v>9</v>
      </c>
      <c r="E74">
        <f>(E35-E33)/E35*F35</f>
        <v>4.1034482758620719E-2</v>
      </c>
      <c r="F74">
        <f t="shared" si="15"/>
        <v>4.1034482758620719E-2</v>
      </c>
      <c r="G74">
        <f>(G35-G33)/G35*H35</f>
        <v>3.7448821763260864E-2</v>
      </c>
      <c r="H74">
        <f t="shared" si="16"/>
        <v>3.7448821763260864E-2</v>
      </c>
      <c r="I74">
        <f>(I35-I33)/I35*J35</f>
        <v>4.2718144313847593E-2</v>
      </c>
      <c r="J74">
        <f t="shared" si="17"/>
        <v>4.2718144313847593E-2</v>
      </c>
      <c r="K74">
        <f>(K35-K33)/K35*L35</f>
        <v>0.19128171763175017</v>
      </c>
      <c r="L74">
        <f t="shared" si="18"/>
        <v>0.19128171763175017</v>
      </c>
      <c r="M74">
        <f>(M35-M33)/M35*N35</f>
        <v>3.206273369339422E-2</v>
      </c>
      <c r="N74">
        <f>M74</f>
        <v>3.206273369339422E-2</v>
      </c>
      <c r="O74">
        <f>(O35-O33)/O35*P35</f>
        <v>0.20893041503200502</v>
      </c>
      <c r="P74">
        <f>O74</f>
        <v>0.20893041503200502</v>
      </c>
    </row>
    <row r="75" spans="4:16" x14ac:dyDescent="0.3">
      <c r="D75" t="s">
        <v>54</v>
      </c>
      <c r="E75">
        <f>(E47-E45)/E47*F47</f>
        <v>0</v>
      </c>
      <c r="F75">
        <f t="shared" si="15"/>
        <v>0</v>
      </c>
      <c r="G75">
        <f>(G47-G45)/G47*H47</f>
        <v>0</v>
      </c>
      <c r="H75">
        <f t="shared" si="16"/>
        <v>0</v>
      </c>
      <c r="I75">
        <f>(I47-I45)/I47*J47</f>
        <v>0.13915181235567328</v>
      </c>
      <c r="J75">
        <f t="shared" si="17"/>
        <v>0.13915181235567328</v>
      </c>
      <c r="K75">
        <f>(K47-K45)/K47*L47</f>
        <v>0</v>
      </c>
      <c r="L75">
        <f t="shared" si="18"/>
        <v>0</v>
      </c>
      <c r="M75">
        <f>(M47-M45)/M47*N47</f>
        <v>0</v>
      </c>
      <c r="N75">
        <f>M75</f>
        <v>0</v>
      </c>
      <c r="O75">
        <f>(O47-O45)/O47*P47</f>
        <v>0.28658372909353708</v>
      </c>
      <c r="P75">
        <f>O75</f>
        <v>0.28658372909353708</v>
      </c>
    </row>
    <row r="78" spans="4:16" x14ac:dyDescent="0.3">
      <c r="D78" t="s">
        <v>121</v>
      </c>
    </row>
  </sheetData>
  <hyperlinks>
    <hyperlink ref="U25" r:id="rId1" xr:uid="{00000000-0004-0000-0000-000000000000}"/>
    <hyperlink ref="U26" r:id="rId2" xr:uid="{00000000-0004-0000-0000-000001000000}"/>
    <hyperlink ref="Q10" r:id="rId3" xr:uid="{00000000-0004-0000-0000-000002000000}"/>
  </hyperlinks>
  <pageMargins left="0.7" right="0.7" top="0.75" bottom="0.75" header="0.3" footer="0.3"/>
  <pageSetup orientation="portrait" r:id="rId4"/>
  <drawing r:id="rId5"/>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Suppl Table 1</vt:lpstr>
      <vt:lpstr>Table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2022-04-13T18:12:16Z</cp:lastPrinted>
  <dcterms:created xsi:type="dcterms:W3CDTF">2015-06-05T18:19:34Z</dcterms:created>
  <dcterms:modified xsi:type="dcterms:W3CDTF">2022-11-24T10:33:33Z</dcterms:modified>
</cp:coreProperties>
</file>